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r+9HJOgpyQa04VsafVO17CBe2NHlRtZv0FQDK6tbXLygU6jn01iB7+cYCf5ZwWgPtsXSMDlhWwBKXnnVxlwiwg==" workbookSaltValue="/X6810MWCnnciSF1td3n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5" i="6" s="1"/>
  <c r="E16" i="2"/>
  <c r="E17" i="2"/>
  <c r="C16" i="2"/>
  <c r="D16" i="2" s="1"/>
  <c r="C17" i="2"/>
  <c r="D17" i="2" s="1"/>
  <c r="I9" i="2"/>
  <c r="I10" i="2"/>
  <c r="I11" i="2"/>
  <c r="I12" i="2"/>
  <c r="C10" i="2"/>
  <c r="D10" i="2" s="1"/>
  <c r="C11" i="2"/>
  <c r="D11" i="2" s="1"/>
  <c r="C12" i="2"/>
  <c r="D12" i="2" s="1"/>
  <c r="G9" i="2"/>
  <c r="G10" i="2"/>
  <c r="G11" i="2"/>
  <c r="G12" i="2"/>
  <c r="E9" i="2"/>
  <c r="E9" i="6"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B16" i="6"/>
  <c r="AL10" i="11"/>
  <c r="N10" i="11"/>
  <c r="N9" i="11"/>
  <c r="T10" i="21"/>
  <c r="V10" i="21" s="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M13" i="2"/>
  <c r="B17" i="6"/>
  <c r="AO12" i="11"/>
  <c r="AC10" i="11"/>
  <c r="H13" i="12"/>
  <c r="T13" i="12"/>
  <c r="BM12" i="11"/>
  <c r="BJ15" i="11"/>
  <c r="R17" i="20"/>
  <c r="R18" i="20" s="1"/>
  <c r="AZ15" i="11"/>
  <c r="AZ18" i="11" s="1"/>
  <c r="BV12" i="16"/>
  <c r="U10" i="17"/>
  <c r="AA16" i="16"/>
  <c r="T16" i="11"/>
  <c r="BI9" i="11"/>
  <c r="BH11" i="11"/>
  <c r="BH12" i="16"/>
  <c r="S19" i="8"/>
  <c r="BF15" i="8"/>
  <c r="AZ18" i="13"/>
  <c r="BG15" i="8"/>
  <c r="BD9" i="8"/>
  <c r="BE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AJ19" i="8" l="1"/>
  <c r="AO16" i="11"/>
  <c r="T19" i="8"/>
  <c r="AW18" i="21"/>
  <c r="B18" i="2"/>
  <c r="H12" i="7"/>
  <c r="AO12" i="17"/>
  <c r="AB19" i="8"/>
  <c r="Z19" i="8"/>
  <c r="BG10" i="8"/>
  <c r="L12" i="14"/>
  <c r="F9" i="2"/>
  <c r="B9" i="6"/>
  <c r="E11" i="6"/>
  <c r="AL11" i="11"/>
  <c r="C11" i="6"/>
  <c r="AO9" i="11"/>
  <c r="AO17" i="11"/>
  <c r="H12" i="2"/>
  <c r="M18" i="2"/>
  <c r="N18" i="2"/>
  <c r="N19" i="2" s="1"/>
  <c r="BF11" i="8"/>
  <c r="BF9" i="8"/>
  <c r="C10" i="6"/>
  <c r="BD15" i="8"/>
  <c r="H15" i="7" s="1"/>
  <c r="BE15" i="8"/>
  <c r="BG16" i="8"/>
  <c r="E18" i="2"/>
  <c r="AL15" i="11"/>
  <c r="L16" i="14"/>
  <c r="F15" i="11"/>
  <c r="F16" i="17"/>
  <c r="BB13" i="13"/>
  <c r="D11" i="12"/>
  <c r="D12" i="12"/>
  <c r="BG9" i="8"/>
  <c r="K9" i="7" s="1"/>
  <c r="BD11" i="8"/>
  <c r="H11" i="7" s="1"/>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J9" i="12" s="1"/>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D19" i="12"/>
  <c r="Y13" i="11"/>
  <c r="P12" i="11"/>
  <c r="B19" i="7"/>
  <c r="F19" i="7"/>
  <c r="H13" i="2"/>
  <c r="AL18" i="11"/>
  <c r="BE13" i="13"/>
  <c r="AM13" i="11"/>
  <c r="C18" i="6"/>
  <c r="BW21" i="20"/>
  <c r="BK13" i="11"/>
  <c r="BV13" i="16"/>
  <c r="T18" i="16"/>
  <c r="T19" i="16" s="1"/>
  <c r="P16" i="11"/>
  <c r="AS16" i="20"/>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<sst xmlns="http://schemas.openxmlformats.org/spreadsheetml/2006/main" count="2102" uniqueCount="917">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</sst>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3ggK9KX1zHeBCQRFA4Q6q8HXJDNggiNhLpb52gkzAXVXjKpf7Qv/zoeQ+DwUPBAQOm9b9OdpjuyWyMhIye9Wg==" saltValue="Ep7s4TPAQ+Bj9KsTlwdN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90</v>
      </c>
      <c r="D10" s="224">
        <f>IF(ISNUMBER(Datos!I10),Datos!I10," - ")</f>
        <v>90</v>
      </c>
      <c r="E10" s="225">
        <f>IF(ISNUMBER(Datos!J10),Datos!J10," - ")</f>
        <v>22</v>
      </c>
      <c r="F10" s="225">
        <f>IF(ISNUMBER(Datos!K10),Datos!K10," - ")</f>
        <v>13</v>
      </c>
      <c r="G10" s="1033" t="str">
        <f>IF(Datos!E10&lt;&gt;"",Datos!E10,Datos!D10)</f>
        <v>37</v>
      </c>
      <c r="H10" s="226">
        <f>IF(ISNUMBER(Datos!L10),Datos!L10," - ")</f>
        <v>99</v>
      </c>
      <c r="I10" s="1043" t="str">
        <f>IF(ISNUMBER(Datos!AS10/Datos!BM10),Datos!AS10/Datos!BM10," - ")</f>
        <v xml:space="preserve"> - </v>
      </c>
      <c r="J10" s="1044">
        <f>IF(ISNUMBER(Datos!BY10/Datos!CN10),Datos!BY10/Datos!CN10," - ")</f>
        <v>0</v>
      </c>
      <c r="K10" s="229">
        <f t="shared" ref="K10:K12" si="1">IF(ISNUMBER((E10-F10)/C10),(E10-F10)/C10," - ")</f>
        <v>0.1</v>
      </c>
      <c r="L10" s="1024">
        <f>IF(ISNUMBER(NºAsuntos!I10/NºAsuntos!G10),(NºAsuntos!I10/NºAsuntos!G10)*11," - ")</f>
        <v>83.769230769230759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36.548387096774192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90</v>
      </c>
      <c r="D13" s="1048">
        <f>SUBTOTAL(9,D9:D12)</f>
        <v>90</v>
      </c>
      <c r="E13" s="1049">
        <f>SUBTOTAL(9,E9:E12)</f>
        <v>22</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2808</v>
      </c>
      <c r="D16" s="224">
        <f>IF(ISNUMBER(IF(D_I="SI",Datos!I16,Datos!I16+Datos!AC16)),IF(D_I="SI",Datos!I16,Datos!I16+Datos!AC16)," - ")</f>
        <v>2787</v>
      </c>
      <c r="E16" s="225">
        <f>IF(ISNUMBER(IF(D_I="SI",Datos!J16,Datos!J16+Datos!AD16)),IF(D_I="SI",Datos!J16,Datos!J16+Datos!AD16)," - ")</f>
        <v>2449</v>
      </c>
      <c r="F16" s="225">
        <f>IF(ISNUMBER(IF(D_I="SI",Datos!K16,Datos!K16+Datos!AE16)),IF(D_I="SI",Datos!K16,Datos!K16+Datos!AE16)," - ")</f>
        <v>2306</v>
      </c>
      <c r="G16" s="1033" t="str">
        <f>IF(Datos!E16&lt;&gt;"",Datos!E16,Datos!D16)</f>
        <v>04</v>
      </c>
      <c r="H16" s="226">
        <f>IF(ISNUMBER(IF(D_I="SI",Datos!L16,Datos!L16+Datos!AF16)),IF(D_I="SI",Datos!L16,Datos!L16+Datos!AF16)," - ")</f>
        <v>2951</v>
      </c>
      <c r="I16" s="1043" t="str">
        <f>IF(ISNUMBER(Datos!AS16/Datos!BM16),Datos!AS16/Datos!BM16," - ")</f>
        <v xml:space="preserve"> - </v>
      </c>
      <c r="J16" s="1044">
        <f>IF(ISNUMBER(Datos!BY16/Datos!CN16),Datos!BY16/Datos!CN16," - ")</f>
        <v>0</v>
      </c>
      <c r="K16" s="229">
        <f t="shared" si="3"/>
        <v>5.0925925925925923E-2</v>
      </c>
      <c r="L16" s="1024">
        <f>IF(ISNUMBER(NºAsuntos!I16/NºAsuntos!G16),(NºAsuntos!I16/NºAsuntos!G16)*11," - ")</f>
        <v>14.076756287944491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184</v>
      </c>
      <c r="D17" s="224">
        <f>IF(ISNUMBER(IF(D_I="SI",Datos!I17,Datos!I17+Datos!AC17)),IF(D_I="SI",Datos!I17,Datos!I17+Datos!AC17)," - ")</f>
        <v>184</v>
      </c>
      <c r="E17" s="225">
        <f>IF(ISNUMBER(IF(D_I="SI",Datos!J17,Datos!J17+Datos!AD17)),IF(D_I="SI",Datos!J17,Datos!J17+Datos!AD17)," - ")</f>
        <v>122</v>
      </c>
      <c r="F17" s="225">
        <f>IF(ISNUMBER(IF(D_I="SI",Datos!K17,Datos!K17+Datos!AE17)),IF(D_I="SI",Datos!K17,Datos!K17+Datos!AE17)," - ")</f>
        <v>144</v>
      </c>
      <c r="G17" s="1033" t="str">
        <f>IF(Datos!E17&lt;&gt;"",Datos!E17,Datos!D17)</f>
        <v>37</v>
      </c>
      <c r="H17" s="226">
        <f>IF(ISNUMBER(IF(D_I="SI",Datos!L17,Datos!L17+Datos!AF17)),IF(D_I="SI",Datos!L17,Datos!L17+Datos!AF17)," - ")</f>
        <v>162</v>
      </c>
      <c r="I17" s="1043" t="str">
        <f>IF(ISNUMBER(Datos!AS17/Datos!BM17),Datos!AS17/Datos!BM17," - ")</f>
        <v xml:space="preserve"> - </v>
      </c>
      <c r="J17" s="1044" t="str">
        <f>IF(ISNUMBER((Datos!BY17+Datos!BZ17)/Datos!CN17),(Datos!BY17+Datos!BZ17)/Datos!CN17," - ")</f>
        <v xml:space="preserve"> - </v>
      </c>
      <c r="K17" s="229">
        <f t="shared" si="3"/>
        <v>-0.11956521739130435</v>
      </c>
      <c r="L17" s="1024">
        <f>IF(ISNUMBER(NºAsuntos!I17/NºAsuntos!G17),(NºAsuntos!I17/NºAsuntos!G17)*11," - ")</f>
        <v>12.375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2992</v>
      </c>
      <c r="D18" s="1048">
        <f>SUBTOTAL(9,D15:D17)</f>
        <v>2971</v>
      </c>
      <c r="E18" s="1049">
        <f>SUBTOTAL(9,E15:E17)</f>
        <v>2571</v>
      </c>
      <c r="F18" s="1049">
        <f>SUBTOTAL(9,F15:F17)</f>
        <v>2450</v>
      </c>
      <c r="G18" s="1051" t="str">
        <f ca="1">INDIRECT(CONCATENATE("G",ROW()-1))</f>
        <v>37</v>
      </c>
      <c r="H18" s="1052">
        <f ca="1">SUMIF(G$14:G17,G18,H$14:H17)</f>
        <v>162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3082</v>
      </c>
      <c r="D19" s="1070">
        <f>SUBTOTAL(9,D9:D18)</f>
        <v>3061</v>
      </c>
      <c r="E19" s="1071">
        <f>SUBTOTAL(9,E9:E18)</f>
        <v>2593</v>
      </c>
      <c r="F19" s="1071">
        <f>SUBTOTAL(9,F9:F18)</f>
        <v>2463</v>
      </c>
      <c r="G19" s="1072"/>
      <c r="H19" s="1073">
        <f ca="1">SUMIF(B9:B18,"TOTAL",H9:H18)</f>
        <v>162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0UUHBW26stE1jaZHAHszkY0K2QbmWR7eLqgG/2D7PmDY/nhj86PtxNtgUiIYqbyvmlIhvw8UBci0RQM7A8Vhuw==" saltValue="XRo2z9rp5AM7IoGlnARw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aoPXg8FpBnt67i9u3FfwgP+N7OyQkKYotEVrpa58LZNlPKR7Gn7kUAgKzsdyRK6+U7DNCW19+uSZZmmhdnySw==" saltValue="DCly8A/Ax5vvJXoqBDSM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90</v>
      </c>
      <c r="J10" s="180">
        <v>22</v>
      </c>
      <c r="K10" s="180">
        <v>13</v>
      </c>
      <c r="L10" s="180">
        <v>99</v>
      </c>
      <c r="M10" s="180">
        <v>9</v>
      </c>
      <c r="N10" s="180">
        <v>0</v>
      </c>
      <c r="O10" s="180">
        <v>0</v>
      </c>
      <c r="P10" s="180">
        <v>3</v>
      </c>
      <c r="Q10" s="180">
        <v>13</v>
      </c>
      <c r="R10" s="180">
        <v>40</v>
      </c>
      <c r="S10" s="180">
        <v>81</v>
      </c>
      <c r="T10" s="180">
        <v>34</v>
      </c>
      <c r="U10" s="180">
        <v>31</v>
      </c>
      <c r="V10" s="180">
        <v>84</v>
      </c>
      <c r="W10" s="180">
        <v>14</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81</v>
      </c>
      <c r="AZ10" s="129">
        <f t="shared" si="0"/>
        <v>34</v>
      </c>
      <c r="BA10" s="129">
        <f t="shared" si="0"/>
        <v>31</v>
      </c>
      <c r="BB10" s="129">
        <f t="shared" si="0"/>
        <v>84</v>
      </c>
      <c r="BC10" s="125">
        <f t="shared" si="0"/>
        <v>14</v>
      </c>
      <c r="BD10" s="126">
        <f>IF(ISNUMBER(BA10/AZ10),BA10/AZ10," - ")</f>
        <v>0.91176470588235292</v>
      </c>
      <c r="BE10" s="127">
        <f>IF(ISNUMBER(BB10/BA10),BB10/BA10, " - ")</f>
        <v>2.7096774193548385</v>
      </c>
      <c r="BF10" s="127">
        <f>IF(ISNUMBER(BC10/BA10),BC10/BA10, " - ")</f>
        <v>0.45161290322580644</v>
      </c>
      <c r="BG10" s="195">
        <f>IF(ISNUMBER((AY10+AZ10)/BA10),(AY10+AZ10)/BA10," - ")</f>
        <v>3.7096774193548385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7208</v>
      </c>
      <c r="J12" s="182">
        <v>1534</v>
      </c>
      <c r="K12" s="182">
        <v>1807</v>
      </c>
      <c r="L12" s="182">
        <v>6722</v>
      </c>
      <c r="M12" s="182">
        <v>457</v>
      </c>
      <c r="N12" s="182">
        <v>1227</v>
      </c>
      <c r="O12" s="180">
        <v>546</v>
      </c>
      <c r="P12" s="182">
        <v>437</v>
      </c>
      <c r="Q12" s="182">
        <v>384</v>
      </c>
      <c r="R12" s="182">
        <v>9042</v>
      </c>
      <c r="S12" s="182">
        <v>6993</v>
      </c>
      <c r="T12" s="182">
        <v>2822</v>
      </c>
      <c r="U12" s="182">
        <v>2647</v>
      </c>
      <c r="V12" s="182">
        <v>7170</v>
      </c>
      <c r="W12" s="182">
        <v>544</v>
      </c>
      <c r="X12" s="188">
        <v>1470</v>
      </c>
      <c r="Y12" s="190">
        <v>265</v>
      </c>
      <c r="Z12" s="180">
        <v>318</v>
      </c>
      <c r="AA12" s="180">
        <v>301</v>
      </c>
      <c r="AB12" s="180">
        <v>282</v>
      </c>
      <c r="AC12" s="182">
        <v>0</v>
      </c>
      <c r="AD12" s="182">
        <v>0</v>
      </c>
      <c r="AE12" s="182">
        <v>0</v>
      </c>
      <c r="AF12" s="188">
        <v>0</v>
      </c>
      <c r="AG12" s="201">
        <v>236</v>
      </c>
      <c r="AH12" s="182">
        <v>253</v>
      </c>
      <c r="AI12" s="182">
        <v>299</v>
      </c>
      <c r="AJ12" s="202">
        <v>194</v>
      </c>
      <c r="AK12" s="181">
        <v>0</v>
      </c>
      <c r="AL12" s="182">
        <v>0</v>
      </c>
      <c r="AM12" s="182">
        <v>0</v>
      </c>
      <c r="AN12" s="188">
        <v>0</v>
      </c>
      <c r="AO12" s="258">
        <v>8</v>
      </c>
      <c r="AP12" s="154">
        <v>8</v>
      </c>
      <c r="AQ12" s="154">
        <v>8</v>
      </c>
      <c r="AR12" s="153">
        <v>8</v>
      </c>
      <c r="AS12" s="339" t="s">
        <v>794</v>
      </c>
      <c r="AT12" s="202"/>
      <c r="AU12" s="201"/>
      <c r="AV12" s="202"/>
      <c r="AW12" s="201"/>
      <c r="AX12" s="202"/>
      <c r="AY12" s="126">
        <f t="shared" si="1"/>
        <v>7229</v>
      </c>
      <c r="AZ12" s="127">
        <f t="shared" si="1"/>
        <v>3075</v>
      </c>
      <c r="BA12" s="127">
        <f t="shared" si="1"/>
        <v>2946</v>
      </c>
      <c r="BB12" s="127">
        <f t="shared" si="1"/>
        <v>7364</v>
      </c>
      <c r="BC12" s="125">
        <f>IF(ISNUMBER(X12),X12," - ")</f>
        <v>1470</v>
      </c>
      <c r="BD12" s="126">
        <f t="shared" si="2"/>
        <v>0.95804878048780484</v>
      </c>
      <c r="BE12" s="127">
        <f t="shared" si="3"/>
        <v>2.4996605566870334</v>
      </c>
      <c r="BF12" s="127">
        <f t="shared" si="4"/>
        <v>0.49898167006109978</v>
      </c>
      <c r="BG12" s="195">
        <f t="shared" si="5"/>
        <v>3.497623896809233</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7298</v>
      </c>
      <c r="J13" s="183">
        <f t="shared" si="6"/>
        <v>1556</v>
      </c>
      <c r="K13" s="183">
        <f t="shared" si="6"/>
        <v>1820</v>
      </c>
      <c r="L13" s="183">
        <f t="shared" si="6"/>
        <v>6821</v>
      </c>
      <c r="M13" s="183">
        <f t="shared" si="6"/>
        <v>466</v>
      </c>
      <c r="N13" s="183">
        <f t="shared" si="6"/>
        <v>1227</v>
      </c>
      <c r="O13" s="183">
        <f t="shared" si="6"/>
        <v>546</v>
      </c>
      <c r="P13" s="183">
        <f t="shared" si="6"/>
        <v>440</v>
      </c>
      <c r="Q13" s="183">
        <f t="shared" si="6"/>
        <v>397</v>
      </c>
      <c r="R13" s="183">
        <f t="shared" si="6"/>
        <v>9082</v>
      </c>
      <c r="S13" s="183">
        <f t="shared" si="6"/>
        <v>7074</v>
      </c>
      <c r="T13" s="183">
        <f t="shared" si="6"/>
        <v>2856</v>
      </c>
      <c r="U13" s="183">
        <f t="shared" si="6"/>
        <v>2678</v>
      </c>
      <c r="V13" s="183">
        <f t="shared" si="6"/>
        <v>7254</v>
      </c>
      <c r="W13" s="183">
        <f t="shared" si="6"/>
        <v>558</v>
      </c>
      <c r="X13" s="183">
        <f t="shared" si="6"/>
        <v>1488</v>
      </c>
      <c r="Y13" s="183">
        <f t="shared" si="6"/>
        <v>265</v>
      </c>
      <c r="Z13" s="183">
        <f t="shared" si="6"/>
        <v>318</v>
      </c>
      <c r="AA13" s="183">
        <f t="shared" si="6"/>
        <v>301</v>
      </c>
      <c r="AB13" s="183">
        <f t="shared" si="6"/>
        <v>282</v>
      </c>
      <c r="AC13" s="183">
        <f t="shared" si="6"/>
        <v>0</v>
      </c>
      <c r="AD13" s="183">
        <f t="shared" si="6"/>
        <v>0</v>
      </c>
      <c r="AE13" s="183">
        <f t="shared" si="6"/>
        <v>0</v>
      </c>
      <c r="AF13" s="183">
        <f>SUBTOTAL(9,AF9:AF12)</f>
        <v>0</v>
      </c>
      <c r="AG13" s="183">
        <f t="shared" ref="AG13:AT13" si="7">SUBTOTAL(9,AG8:AG12)</f>
        <v>236</v>
      </c>
      <c r="AH13" s="183">
        <f t="shared" si="7"/>
        <v>253</v>
      </c>
      <c r="AI13" s="183">
        <f t="shared" si="7"/>
        <v>299</v>
      </c>
      <c r="AJ13" s="183">
        <f t="shared" si="7"/>
        <v>194</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7310</v>
      </c>
      <c r="AZ13" s="183">
        <f>SUBTOTAL(9,AZ8:AZ12)</f>
        <v>3109</v>
      </c>
      <c r="BA13" s="183">
        <f>SUBTOTAL(9,BA8:BA12)</f>
        <v>2977</v>
      </c>
      <c r="BB13" s="183">
        <f>SUBTOTAL(9,BB8:BB12)</f>
        <v>7448</v>
      </c>
      <c r="BC13" s="183">
        <f>SUBTOTAL(9,BC8:BC12)</f>
        <v>1484</v>
      </c>
      <c r="BD13" s="204">
        <f>IF(ISNUMBER(BA13/AZ13),BA13/AZ13," - ")</f>
        <v>0.95754261820521069</v>
      </c>
      <c r="BE13" s="205">
        <f>IF(ISNUMBER(BB13/BA13),BB13/BA13, " - ")</f>
        <v>2.5018474974806852</v>
      </c>
      <c r="BF13" s="205">
        <f>IF(ISNUMBER(BC13/BA13),BC13/BA13, " - ")</f>
        <v>0.49848841115216663</v>
      </c>
      <c r="BG13" s="206">
        <f>IF(ISNUMBER((AY13+AZ13)/BA13),(AY13+AZ13)/BA13," - ")</f>
        <v>3.4998320456835739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2787</v>
      </c>
      <c r="J16" s="182">
        <v>2449</v>
      </c>
      <c r="K16" s="182">
        <v>2306</v>
      </c>
      <c r="L16" s="182">
        <v>2951</v>
      </c>
      <c r="M16" s="182">
        <v>270</v>
      </c>
      <c r="N16" s="182">
        <v>1429</v>
      </c>
      <c r="O16" s="180">
        <v>45</v>
      </c>
      <c r="P16" s="182">
        <v>73</v>
      </c>
      <c r="Q16" s="182">
        <v>153</v>
      </c>
      <c r="R16" s="182">
        <v>228</v>
      </c>
      <c r="S16" s="182">
        <v>2507</v>
      </c>
      <c r="T16" s="182">
        <v>2187</v>
      </c>
      <c r="U16" s="182">
        <v>2281</v>
      </c>
      <c r="V16" s="182">
        <v>2536</v>
      </c>
      <c r="W16" s="182">
        <v>346</v>
      </c>
      <c r="X16" s="188">
        <v>1384</v>
      </c>
      <c r="Y16" s="201">
        <v>0</v>
      </c>
      <c r="Z16" s="182">
        <v>0</v>
      </c>
      <c r="AA16" s="182">
        <v>0</v>
      </c>
      <c r="AB16" s="182">
        <v>0</v>
      </c>
      <c r="AC16" s="182">
        <v>23</v>
      </c>
      <c r="AD16" s="182">
        <v>37</v>
      </c>
      <c r="AE16" s="182">
        <v>29</v>
      </c>
      <c r="AF16" s="188">
        <v>31</v>
      </c>
      <c r="AG16" s="201">
        <v>0</v>
      </c>
      <c r="AH16" s="182">
        <v>0</v>
      </c>
      <c r="AI16" s="182">
        <v>0</v>
      </c>
      <c r="AJ16" s="202">
        <v>0</v>
      </c>
      <c r="AK16" s="181">
        <v>10</v>
      </c>
      <c r="AL16" s="182">
        <v>35</v>
      </c>
      <c r="AM16" s="182">
        <v>34</v>
      </c>
      <c r="AN16" s="188">
        <v>11</v>
      </c>
      <c r="AO16" s="258">
        <v>8</v>
      </c>
      <c r="AP16" s="154">
        <v>8</v>
      </c>
      <c r="AQ16" s="154">
        <v>8</v>
      </c>
      <c r="AR16" s="154">
        <v>8</v>
      </c>
      <c r="AS16" s="339" t="s">
        <v>487</v>
      </c>
      <c r="AT16" s="202"/>
      <c r="AU16" s="201"/>
      <c r="AV16" s="202"/>
      <c r="AW16" s="201"/>
      <c r="AX16" s="202"/>
      <c r="AY16" s="126">
        <f t="shared" si="9"/>
        <v>2507</v>
      </c>
      <c r="AZ16" s="127">
        <f t="shared" si="9"/>
        <v>2187</v>
      </c>
      <c r="BA16" s="127">
        <f t="shared" si="9"/>
        <v>2281</v>
      </c>
      <c r="BB16" s="127">
        <f t="shared" si="9"/>
        <v>2536</v>
      </c>
      <c r="BC16" s="125">
        <f>IF(ISNUMBER(W16),W16," - ")</f>
        <v>346</v>
      </c>
      <c r="BD16" s="126">
        <f t="shared" ref="BD16" si="11">IF(ISNUMBER(BA16/AZ16),BA16/AZ16," - ")</f>
        <v>1.042981252857796</v>
      </c>
      <c r="BE16" s="127">
        <f t="shared" ref="BE16" si="12">IF(ISNUMBER(BB16/BA16),BB16/BA16, " - ")</f>
        <v>1.1117930732135028</v>
      </c>
      <c r="BF16" s="127">
        <f t="shared" ref="BF16" si="13">IF(ISNUMBER(BC16/BA16),BC16/BA16, " - ")</f>
        <v>0.15168785620341954</v>
      </c>
      <c r="BG16" s="195">
        <f t="shared" si="10"/>
        <v>2.0578693555458134</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184</v>
      </c>
      <c r="J17" s="182">
        <v>122</v>
      </c>
      <c r="K17" s="182">
        <v>144</v>
      </c>
      <c r="L17" s="182">
        <v>162</v>
      </c>
      <c r="M17" s="182">
        <v>12</v>
      </c>
      <c r="N17" s="182">
        <v>97</v>
      </c>
      <c r="O17" s="182">
        <v>0</v>
      </c>
      <c r="P17" s="182">
        <v>0</v>
      </c>
      <c r="Q17" s="182">
        <v>0</v>
      </c>
      <c r="R17" s="182">
        <v>0</v>
      </c>
      <c r="S17" s="182">
        <v>175</v>
      </c>
      <c r="T17" s="182">
        <v>140</v>
      </c>
      <c r="U17" s="182">
        <v>133</v>
      </c>
      <c r="V17" s="182">
        <v>182</v>
      </c>
      <c r="W17" s="182">
        <v>9</v>
      </c>
      <c r="X17" s="188">
        <v>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175</v>
      </c>
      <c r="AZ17" s="129">
        <f t="shared" si="14"/>
        <v>140</v>
      </c>
      <c r="BA17" s="129">
        <f t="shared" si="14"/>
        <v>133</v>
      </c>
      <c r="BB17" s="129">
        <f t="shared" si="14"/>
        <v>182</v>
      </c>
      <c r="BC17" s="125">
        <f>IF(ISNUMBER(W17),W17," - ")</f>
        <v>9</v>
      </c>
      <c r="BD17" s="126">
        <f>IF(ISNUMBER(BA17/AZ17),BA17/AZ17," - ")</f>
        <v>0.95</v>
      </c>
      <c r="BE17" s="127">
        <f>IF(ISNUMBER(BB17/BA17),BB17/BA17, " - ")</f>
        <v>1.368421052631579</v>
      </c>
      <c r="BF17" s="127">
        <f>IF(ISNUMBER(BC17/BA17),BC17/BA17, " - ")</f>
        <v>6.7669172932330823E-2</v>
      </c>
      <c r="BG17" s="195">
        <f>IF(ISNUMBER((AY17+AZ17)/BA17),(AY17+AZ17)/BA17," - ")</f>
        <v>2.3684210526315788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2971</v>
      </c>
      <c r="J18" s="183">
        <f t="shared" si="15"/>
        <v>2571</v>
      </c>
      <c r="K18" s="183">
        <f t="shared" si="15"/>
        <v>2450</v>
      </c>
      <c r="L18" s="183">
        <f t="shared" si="15"/>
        <v>3113</v>
      </c>
      <c r="M18" s="183">
        <f t="shared" si="15"/>
        <v>282</v>
      </c>
      <c r="N18" s="183">
        <f t="shared" si="15"/>
        <v>1526</v>
      </c>
      <c r="O18" s="183">
        <f t="shared" si="15"/>
        <v>45</v>
      </c>
      <c r="P18" s="183">
        <f t="shared" si="15"/>
        <v>73</v>
      </c>
      <c r="Q18" s="183">
        <f t="shared" si="15"/>
        <v>153</v>
      </c>
      <c r="R18" s="183">
        <f t="shared" si="15"/>
        <v>228</v>
      </c>
      <c r="S18" s="183">
        <f t="shared" si="15"/>
        <v>2682</v>
      </c>
      <c r="T18" s="183">
        <f t="shared" si="15"/>
        <v>2327</v>
      </c>
      <c r="U18" s="183">
        <f t="shared" si="15"/>
        <v>2414</v>
      </c>
      <c r="V18" s="183">
        <f t="shared" si="15"/>
        <v>2718</v>
      </c>
      <c r="W18" s="183">
        <f t="shared" si="15"/>
        <v>355</v>
      </c>
      <c r="X18" s="183">
        <f t="shared" si="15"/>
        <v>1469</v>
      </c>
      <c r="Y18" s="183">
        <f t="shared" si="15"/>
        <v>0</v>
      </c>
      <c r="Z18" s="183">
        <f t="shared" si="15"/>
        <v>0</v>
      </c>
      <c r="AA18" s="183">
        <f t="shared" si="15"/>
        <v>0</v>
      </c>
      <c r="AB18" s="183">
        <f t="shared" si="15"/>
        <v>0</v>
      </c>
      <c r="AC18" s="183">
        <f t="shared" si="15"/>
        <v>23</v>
      </c>
      <c r="AD18" s="183">
        <f t="shared" si="15"/>
        <v>37</v>
      </c>
      <c r="AE18" s="183">
        <f t="shared" si="15"/>
        <v>29</v>
      </c>
      <c r="AF18" s="183">
        <f t="shared" si="15"/>
        <v>31</v>
      </c>
      <c r="AG18" s="183">
        <f t="shared" si="15"/>
        <v>0</v>
      </c>
      <c r="AH18" s="183">
        <f t="shared" si="15"/>
        <v>0</v>
      </c>
      <c r="AI18" s="183">
        <f t="shared" si="15"/>
        <v>0</v>
      </c>
      <c r="AJ18" s="183">
        <f t="shared" si="15"/>
        <v>0</v>
      </c>
      <c r="AK18" s="183">
        <f t="shared" si="15"/>
        <v>10</v>
      </c>
      <c r="AL18" s="183">
        <f t="shared" si="15"/>
        <v>35</v>
      </c>
      <c r="AM18" s="183">
        <f t="shared" si="15"/>
        <v>34</v>
      </c>
      <c r="AN18" s="183">
        <f t="shared" si="15"/>
        <v>11</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2682</v>
      </c>
      <c r="AZ18" s="183">
        <f>SUBTOTAL(9,AZ14:AZ17)</f>
        <v>2327</v>
      </c>
      <c r="BA18" s="183">
        <f>SUBTOTAL(9,BA14:BA17)</f>
        <v>2414</v>
      </c>
      <c r="BB18" s="183">
        <f>SUBTOTAL(9,BB14:BB17)</f>
        <v>2718</v>
      </c>
      <c r="BC18" s="183">
        <f>SUBTOTAL(9,BC14:BC17)</f>
        <v>355</v>
      </c>
      <c r="BD18" s="204">
        <f>IF(ISNUMBER(BA18/AZ18),BA18/AZ18," - ")</f>
        <v>1.0373871938117749</v>
      </c>
      <c r="BE18" s="205">
        <f>IF(ISNUMBER(BB18/BA18),BB18/BA18, " - ")</f>
        <v>1.1259320629660314</v>
      </c>
      <c r="BF18" s="205">
        <f>IF(ISNUMBER(BC18/BA18),BC18/BA18, " - ")</f>
        <v>0.14705882352941177</v>
      </c>
      <c r="BG18" s="206">
        <f>IF(ISNUMBER((AY18+AZ18)/BA18),(AY18+AZ18)/BA18," - ")</f>
        <v>2.0749792874896436</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10269</v>
      </c>
      <c r="J19" s="134">
        <f t="shared" si="18"/>
        <v>4127</v>
      </c>
      <c r="K19" s="134">
        <f t="shared" si="18"/>
        <v>4270</v>
      </c>
      <c r="L19" s="134">
        <f t="shared" si="18"/>
        <v>9934</v>
      </c>
      <c r="M19" s="134">
        <f t="shared" si="18"/>
        <v>748</v>
      </c>
      <c r="N19" s="134">
        <f t="shared" si="18"/>
        <v>2753</v>
      </c>
      <c r="O19" s="134">
        <f t="shared" si="18"/>
        <v>591</v>
      </c>
      <c r="P19" s="134">
        <f t="shared" si="18"/>
        <v>513</v>
      </c>
      <c r="Q19" s="134">
        <f t="shared" si="18"/>
        <v>550</v>
      </c>
      <c r="R19" s="134">
        <f t="shared" si="18"/>
        <v>9310</v>
      </c>
      <c r="S19" s="134">
        <f t="shared" si="18"/>
        <v>9756</v>
      </c>
      <c r="T19" s="134">
        <f t="shared" si="18"/>
        <v>5183</v>
      </c>
      <c r="U19" s="134">
        <f t="shared" si="18"/>
        <v>5092</v>
      </c>
      <c r="V19" s="134">
        <f t="shared" si="18"/>
        <v>9972</v>
      </c>
      <c r="W19" s="134">
        <f t="shared" si="18"/>
        <v>913</v>
      </c>
      <c r="X19" s="134">
        <f t="shared" si="18"/>
        <v>2957</v>
      </c>
      <c r="Y19" s="134">
        <f t="shared" si="18"/>
        <v>265</v>
      </c>
      <c r="Z19" s="134">
        <f t="shared" si="18"/>
        <v>318</v>
      </c>
      <c r="AA19" s="134">
        <f t="shared" si="18"/>
        <v>301</v>
      </c>
      <c r="AB19" s="134">
        <f t="shared" si="18"/>
        <v>282</v>
      </c>
      <c r="AC19" s="134">
        <f t="shared" si="18"/>
        <v>23</v>
      </c>
      <c r="AD19" s="134">
        <f t="shared" si="18"/>
        <v>37</v>
      </c>
      <c r="AE19" s="134">
        <f t="shared" si="18"/>
        <v>29</v>
      </c>
      <c r="AF19" s="134">
        <f t="shared" si="18"/>
        <v>31</v>
      </c>
      <c r="AG19" s="134">
        <f t="shared" si="18"/>
        <v>236</v>
      </c>
      <c r="AH19" s="134">
        <f t="shared" si="18"/>
        <v>253</v>
      </c>
      <c r="AI19" s="134">
        <f t="shared" si="18"/>
        <v>299</v>
      </c>
      <c r="AJ19" s="134">
        <f t="shared" si="18"/>
        <v>194</v>
      </c>
      <c r="AK19" s="134">
        <f t="shared" si="18"/>
        <v>10</v>
      </c>
      <c r="AL19" s="134">
        <f t="shared" si="18"/>
        <v>35</v>
      </c>
      <c r="AM19" s="134">
        <f t="shared" si="18"/>
        <v>34</v>
      </c>
      <c r="AN19" s="209">
        <f t="shared" si="18"/>
        <v>11</v>
      </c>
      <c r="AO19" s="210">
        <v>9</v>
      </c>
      <c r="AP19" s="210">
        <v>8</v>
      </c>
      <c r="AQ19" s="210">
        <v>8</v>
      </c>
      <c r="AR19" s="210">
        <v>8</v>
      </c>
      <c r="AS19" s="152">
        <f t="shared" si="18"/>
        <v>0</v>
      </c>
      <c r="AT19" s="152">
        <f t="shared" si="18"/>
        <v>0</v>
      </c>
      <c r="AU19" s="210"/>
      <c r="AV19" s="211"/>
      <c r="AW19" s="210"/>
      <c r="AX19" s="211"/>
      <c r="AY19" s="133">
        <f>SUBTOTAL(9,AY9:AY18)</f>
        <v>9992</v>
      </c>
      <c r="AZ19" s="134">
        <f>SUBTOTAL(9,AZ9:AZ18)</f>
        <v>5436</v>
      </c>
      <c r="BA19" s="134">
        <f>SUBTOTAL(9,BA9:BA18)</f>
        <v>5391</v>
      </c>
      <c r="BB19" s="134">
        <f>SUBTOTAL(9,BB9:BB18)</f>
        <v>10166</v>
      </c>
      <c r="BC19" s="135">
        <f>SUBTOTAL(9,BC9:BC18)</f>
        <v>1839</v>
      </c>
      <c r="BD19" s="212">
        <f>IF(ISNUMBER(BA19/AZ19),BA19/AZ19," - ")</f>
        <v>0.99172185430463577</v>
      </c>
      <c r="BE19" s="209">
        <f>IF(ISNUMBER(BB19/BA19),BB19/BA19, " - ")</f>
        <v>1.8857354850677055</v>
      </c>
      <c r="BF19" s="209">
        <f>IF(ISNUMBER(BC19/BA19),BC19/BA19, " - ")</f>
        <v>0.34112409571508068</v>
      </c>
      <c r="BG19" s="135">
        <f>IF(ISNUMBER((AY19+AZ19)/BA19),(AY19+AZ19)/BA19," - ")</f>
        <v>2.8618067148951956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45BzuTW2NoZ3a9gw96tfE+dp41Nh/AZZ01FX5QFHn7hEb6JOSvbr7O4VTgetm2phTw779s46/NHli0xH96cg==" saltValue="hV2oGpJIiS3sLGXRUUCn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2rhsElpFqOuzYjJ3ZgTB/dH+GFG9xy6PxVaUsSpRHascKxQV40anzpy5H/D5OkcpOiNyqIAjeU25MTv2Db46Q==" saltValue="DLLiT4qOvAImiI8pG/th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90</v>
      </c>
      <c r="G10" s="332">
        <f>IF(ISNUMBER(Datos!I10),Datos!I10," - ")</f>
        <v>90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13</v>
      </c>
      <c r="AD10" s="333"/>
      <c r="AE10" s="483"/>
      <c r="AF10" s="331">
        <f>IF(ISNUMBER(Datos!L10),Datos!L10,"-")</f>
        <v>99</v>
      </c>
      <c r="AG10" s="333"/>
      <c r="AH10" s="333"/>
      <c r="AI10" s="333"/>
      <c r="AJ10" s="333"/>
      <c r="AK10" s="333"/>
      <c r="AL10" s="478"/>
      <c r="AM10" s="334">
        <f>IF(ISNUMBER(Datos!R10),Datos!R10," - ")</f>
        <v>40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0</v>
      </c>
      <c r="BE10" s="228" t="str">
        <f>IF(ISNUMBER(Datos!BW10),Datos!BW10," - ")</f>
        <v xml:space="preserve"> - </v>
      </c>
      <c r="BF10" s="227" t="str">
        <f>IF(ISNUMBER(Datos!BX10),Datos!BX10," - ")</f>
        <v xml:space="preserve"> - </v>
      </c>
      <c r="BG10" s="242">
        <f>IF(ISNUMBER(Datos!K10/Datos!J10),Datos!K10/Datos!J10," - ")</f>
        <v>0.59090909090909094</v>
      </c>
      <c r="BH10" s="259">
        <f>IF(ISNUMBER(((Datos!L10/Datos!K10)*11)/factor_trimestre),((Datos!L10/Datos!K10)*11)/factor_trimestre," - ")</f>
        <v>22.846153846153843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318</v>
      </c>
      <c r="O12" s="333"/>
      <c r="P12" s="333"/>
      <c r="Q12" s="225">
        <f>IF(ISNUMBER(Datos!P12),Datos!P12,0)</f>
        <v>437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282</v>
      </c>
      <c r="AI12" s="333" t="str">
        <f>IF(ISNUMBER(Datos!CD12),Datos!CD12,"-")</f>
        <v>-</v>
      </c>
      <c r="AJ12" s="333" t="str">
        <f>IF(ISNUMBER(Datos!EN12),Datos!EN12," - ")</f>
        <v xml:space="preserve"> - </v>
      </c>
      <c r="AK12" s="333"/>
      <c r="AL12" s="478"/>
      <c r="AM12" s="334">
        <f>IF(ISNUMBER(Datos!R12),Datos!R12," - ")</f>
        <v>9042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457</v>
      </c>
      <c r="BD12" s="228">
        <f>IF(ISNUMBER(Datos!N12),Datos!N12," - ")</f>
        <v>1227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1.1382289416846652</v>
      </c>
      <c r="BH12" s="259">
        <f>IF(ISNUMBER(((IF(J_V="SI",Datos!L12/Datos!K12,(Datos!L12+Datos!AB12)/(Datos!K12+Datos!AA12)))*11)/factor_trimestre),((IF(J_V="SI",Datos!L12/Datos!K12,(Datos!L12+Datos!AB12)/(Datos!K12+Datos!AA12)))*11)/factor_trimestre," - ")</f>
        <v>9.9677419354838701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5.8960952275002778E-3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90</v>
      </c>
      <c r="G13" s="897">
        <f t="shared" si="0"/>
        <v>90</v>
      </c>
      <c r="H13" s="898">
        <f t="shared" si="0"/>
        <v>0</v>
      </c>
      <c r="I13" s="897">
        <f t="shared" si="0"/>
        <v>0</v>
      </c>
      <c r="J13" s="866">
        <f t="shared" si="0"/>
        <v>0</v>
      </c>
      <c r="K13" s="866">
        <f t="shared" si="0"/>
        <v>0</v>
      </c>
      <c r="L13" s="898">
        <f t="shared" si="0"/>
        <v>0</v>
      </c>
      <c r="M13" s="898">
        <f t="shared" si="0"/>
        <v>0</v>
      </c>
      <c r="N13" s="898">
        <f t="shared" si="0"/>
        <v>318</v>
      </c>
      <c r="O13" s="899">
        <f t="shared" si="0"/>
        <v>0</v>
      </c>
      <c r="P13" s="899">
        <f t="shared" si="0"/>
        <v>0</v>
      </c>
      <c r="Q13" s="898">
        <f t="shared" si="0"/>
        <v>440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397</v>
      </c>
      <c r="AD13" s="898">
        <f t="shared" si="1"/>
        <v>0</v>
      </c>
      <c r="AE13" s="898">
        <f t="shared" si="1"/>
        <v>0</v>
      </c>
      <c r="AF13" s="898">
        <f t="shared" si="1"/>
        <v>99</v>
      </c>
      <c r="AG13" s="898">
        <f t="shared" si="1"/>
        <v>0</v>
      </c>
      <c r="AH13" s="898">
        <f t="shared" si="1"/>
        <v>282</v>
      </c>
      <c r="AI13" s="898">
        <f t="shared" si="1"/>
        <v>0</v>
      </c>
      <c r="AJ13" s="898">
        <f t="shared" si="1"/>
        <v>0</v>
      </c>
      <c r="AK13" s="898">
        <f t="shared" si="1"/>
        <v>0</v>
      </c>
      <c r="AL13" s="898">
        <f t="shared" si="1"/>
        <v>0</v>
      </c>
      <c r="AM13" s="898">
        <f t="shared" si="1"/>
        <v>9082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466</v>
      </c>
      <c r="BD13" s="898">
        <f t="shared" si="1"/>
        <v>1227</v>
      </c>
      <c r="BE13" s="898">
        <f t="shared" si="1"/>
        <v>0</v>
      </c>
      <c r="BF13" s="898">
        <f t="shared" si="1"/>
        <v>0</v>
      </c>
      <c r="BG13" s="898">
        <f>IF(ISNUMBER(Datos!K13/Datos!J13),Datos!K13/Datos!J13," - ")</f>
        <v>1.1696658097686374</v>
      </c>
      <c r="BH13" s="902">
        <f>IF(ISNUMBER(((Datos!L13/Datos!K13)*11)/factor_trimestre),((Datos!L13/Datos!K13)*11)/factor_trimestre," - ")</f>
        <v>11.243406593406593</v>
      </c>
      <c r="BI13" s="898">
        <f>IF(ISNUMBER('Resol  Asuntos'!D13/NºAsuntos!G13),'Resol  Asuntos'!D13/NºAsuntos!G13," - ")</f>
        <v>0.2197076850542197</v>
      </c>
      <c r="BJ13" s="898" t="str">
        <f>IF(ISNUMBER(Datos!CI13/Datos!CJ13),Datos!CI13/Datos!CJ13," - ")</f>
        <v xml:space="preserve"> - </v>
      </c>
      <c r="BK13" s="898">
        <f>SUBTOTAL(9,BK8:BK12)</f>
        <v>0</v>
      </c>
      <c r="BL13" s="898">
        <f>IF(ISNUMBER((I13-AB13+L13)/(F13)),(I13-AB13+L13)/(F13)," - ")</f>
        <v>-0.14444444444444443</v>
      </c>
      <c r="BM13" s="903">
        <f>SUBTOTAL(9,BM9:BM12)</f>
        <v>-0.19410390477249972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2808</v>
      </c>
      <c r="G16" s="597">
        <f>IF(ISNUMBER(IF(D_I="SI",Datos!I16,Datos!I16+Datos!AC16)),IF(D_I="SI",Datos!I16,Datos!I16+Datos!AC16)," - ")</f>
        <v>2787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2306</v>
      </c>
      <c r="AC16" s="225">
        <f>IF(ISNUMBER(Datos!Q16),Datos!Q16," - ")</f>
        <v>153</v>
      </c>
      <c r="AD16" s="333"/>
      <c r="AE16" s="483"/>
      <c r="AF16" s="595">
        <f>IF(ISNUMBER(IF(D_I="SI",Datos!L16,Datos!L16+Datos!AF16)),IF(D_I="SI",Datos!L16,Datos!L16+Datos!AF16)," - ")</f>
        <v>2951</v>
      </c>
      <c r="AG16" s="333"/>
      <c r="AH16" s="333"/>
      <c r="AI16" s="333"/>
      <c r="AJ16" s="333"/>
      <c r="AK16" s="333"/>
      <c r="AL16" s="478"/>
      <c r="AM16" s="334">
        <f>IF(ISNUMBER(Datos!R16),Datos!R16," - ")</f>
        <v>228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270</v>
      </c>
      <c r="BD16" s="228">
        <f>IF(ISNUMBER(Datos!N16),Datos!N16," - ")</f>
        <v>1429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0.94160881992650058</v>
      </c>
      <c r="BH16" s="259">
        <f>IF(ISNUMBER(((IF(D_I="SI",Datos!L16/Datos!K16,(Datos!L16+Datos!AF16)/(Datos!K16+Datos!AE16)))*11)/factor_trimestre),((IF(D_I="SI",Datos!L16/Datos!K16,(Datos!L16+Datos!AF16)/(Datos!K16+Datos!AE16)))*11)/factor_trimestre," - ")</f>
        <v>3.8391153512575884</v>
      </c>
      <c r="BI16" s="242">
        <f>IF(ISNUMBER('Resol  Asuntos'!D16/NºAsuntos!G16),'Resol  Asuntos'!D16/NºAsuntos!G16," - ")</f>
        <v>0.11708586296617519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144</v>
      </c>
      <c r="AC17" s="225">
        <f>IF(ISNUMBER(Datos!Q17),Datos!Q17," - ")</f>
        <v>0</v>
      </c>
      <c r="AD17" s="333"/>
      <c r="AE17" s="483"/>
      <c r="AF17" s="331">
        <f>IF(ISNUMBER(Datos!L17),Datos!L17,"-")</f>
        <v>162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97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1.180327868852459</v>
      </c>
      <c r="BH17" s="259">
        <f>IF(ISNUMBER(((IF(D_I="SI",Datos!L17/Datos!K17,(Datos!L17+Datos!AF17)/(Datos!K17+Datos!AE17)))*11)/factor_trimestre),((IF(D_I="SI",Datos!L17/Datos!K17,(Datos!L17+Datos!AF17)/(Datos!K17+Datos!AE17)))*11)/factor_trimestre," - ")</f>
        <v>3.375</v>
      </c>
      <c r="BI17" s="242">
        <f>IF(ISNUMBER('Resol  Asuntos'!D17/NºAsuntos!G17),'Resol  Asuntos'!D17/NºAsuntos!G17," - ")</f>
        <v>8.3333333333333329E-2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2808</v>
      </c>
      <c r="G18" s="897">
        <f>SUBTOTAL(9,G15:G17)</f>
        <v>2971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2450</v>
      </c>
      <c r="AC18" s="898">
        <f t="shared" si="4"/>
        <v>153</v>
      </c>
      <c r="AD18" s="898">
        <f t="shared" si="4"/>
        <v>0</v>
      </c>
      <c r="AE18" s="898">
        <f t="shared" si="4"/>
        <v>0</v>
      </c>
      <c r="AF18" s="898">
        <f t="shared" si="4"/>
        <v>3113</v>
      </c>
      <c r="AG18" s="898">
        <f t="shared" si="4"/>
        <v>0</v>
      </c>
      <c r="AH18" s="898">
        <f t="shared" si="4"/>
        <v>0</v>
      </c>
      <c r="AI18" s="898">
        <f t="shared" si="4"/>
        <v>0</v>
      </c>
      <c r="AJ18" s="898">
        <f t="shared" si="4"/>
        <v>0</v>
      </c>
      <c r="AK18" s="898">
        <f t="shared" si="4"/>
        <v>0</v>
      </c>
      <c r="AL18" s="898">
        <f t="shared" si="4"/>
        <v>0</v>
      </c>
      <c r="AM18" s="898">
        <f t="shared" si="4"/>
        <v>228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282</v>
      </c>
      <c r="BD18" s="898">
        <f t="shared" si="4"/>
        <v>1526</v>
      </c>
      <c r="BE18" s="898">
        <f t="shared" si="4"/>
        <v>0</v>
      </c>
      <c r="BF18" s="898">
        <f t="shared" si="4"/>
        <v>0</v>
      </c>
      <c r="BG18" s="898">
        <f>IF(ISNUMBER(Datos!K18/Datos!J18),Datos!K18/Datos!J18," - ")</f>
        <v>0.95293660054453522</v>
      </c>
      <c r="BH18" s="902">
        <f>IF(ISNUMBER(((Datos!L18/Datos!K18)*11)/factor_trimestre),((Datos!L18/Datos!K18)*11)/factor_trimestre," - ")</f>
        <v>3.8118367346938773</v>
      </c>
      <c r="BI18" s="898">
        <f>SUBTOTAL(9,BI15:BI17)</f>
        <v>0.20041919629950852</v>
      </c>
      <c r="BJ18" s="898">
        <f>SUBTOTAL(9,BJ15:BJ17)</f>
        <v>0</v>
      </c>
      <c r="BK18" s="898">
        <f>SUBTOTAL(9,BK15:BK17)</f>
        <v>0</v>
      </c>
      <c r="BL18" s="898">
        <f>IF(ISNUMBER((I18-AB18+L18)/(F18)),(I18-AB18+L18)/(F18)," - ")</f>
        <v>-0.87250712250712248</v>
      </c>
      <c r="BM18" s="904">
        <f>IF(ISNUMBER((Datos!P18-Datos!Q18)/(Datos!R18-Datos!P18+Datos!Q18)),(Datos!P18-Datos!Q18)/(Datos!R18-Datos!P18+Datos!Q18)," - ")</f>
        <v>-0.25974025974025972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2898</v>
      </c>
      <c r="G19" s="819">
        <f t="shared" si="6"/>
        <v>3061</v>
      </c>
      <c r="H19" s="821">
        <f t="shared" si="6"/>
        <v>0</v>
      </c>
      <c r="I19" s="819">
        <f t="shared" si="6"/>
        <v>0</v>
      </c>
      <c r="J19" s="821">
        <f t="shared" si="6"/>
        <v>0</v>
      </c>
      <c r="K19" s="821">
        <f t="shared" si="6"/>
        <v>0</v>
      </c>
      <c r="L19" s="880">
        <f t="shared" si="6"/>
        <v>0</v>
      </c>
      <c r="M19" s="880">
        <f t="shared" si="6"/>
        <v>0</v>
      </c>
      <c r="N19" s="880">
        <f t="shared" si="6"/>
        <v>318</v>
      </c>
      <c r="O19" s="880">
        <f t="shared" si="6"/>
        <v>0</v>
      </c>
      <c r="P19" s="880">
        <f t="shared" si="6"/>
        <v>0</v>
      </c>
      <c r="Q19" s="821">
        <f t="shared" si="6"/>
        <v>513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2463</v>
      </c>
      <c r="AC19" s="820">
        <f t="shared" si="7"/>
        <v>550</v>
      </c>
      <c r="AD19" s="820">
        <f t="shared" si="7"/>
        <v>0</v>
      </c>
      <c r="AE19" s="820">
        <f t="shared" si="7"/>
        <v>0</v>
      </c>
      <c r="AF19" s="827">
        <f t="shared" si="7"/>
        <v>3212</v>
      </c>
      <c r="AG19" s="827">
        <f t="shared" si="7"/>
        <v>0</v>
      </c>
      <c r="AH19" s="827">
        <f t="shared" si="7"/>
        <v>282</v>
      </c>
      <c r="AI19" s="827">
        <f t="shared" si="7"/>
        <v>0</v>
      </c>
      <c r="AJ19" s="820">
        <f t="shared" si="7"/>
        <v>0</v>
      </c>
      <c r="AK19" s="827">
        <f t="shared" si="7"/>
        <v>0</v>
      </c>
      <c r="AL19" s="827">
        <f t="shared" si="7"/>
        <v>0</v>
      </c>
      <c r="AM19" s="827">
        <f t="shared" si="7"/>
        <v>9310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748</v>
      </c>
      <c r="BD19" s="819">
        <f t="shared" si="7"/>
        <v>2753</v>
      </c>
      <c r="BE19" s="819">
        <f t="shared" si="7"/>
        <v>0</v>
      </c>
      <c r="BF19" s="829">
        <f t="shared" si="7"/>
        <v>0</v>
      </c>
      <c r="BG19" s="914">
        <f>IF(ISNUMBER(Datos!K19/Datos!J19),Datos!K19/Datos!J19," - ")</f>
        <v>1.0346498667312818</v>
      </c>
      <c r="BH19" s="914">
        <f>IF(ISNUMBER(((Datos!L19/Datos!K19)*11)/factor_trimestre),((Datos!L19/Datos!K19)*11)/factor_trimestre," - ")</f>
        <v>6.9793911007025757</v>
      </c>
      <c r="BI19" s="812">
        <f>IF(ISNUMBER(Datos!J19/Datos!I19),Datos!J19/Datos!I19," - ")</f>
        <v>0.40188918103028531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-0.84989648033126297</v>
      </c>
      <c r="BM19" s="888">
        <f>IF(ISNUMBER((Datos!P19-Datos!Q19+R19)/(Datos!R19-Datos!P19+Datos!Q19-R19)),(Datos!P19-Datos!Q19+R19)/(Datos!R19-Datos!P19+Datos!Q19-R19)," - ")</f>
        <v>-3.958489354873221E-3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1224.4000000000001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1569.2380316574029</v>
      </c>
      <c r="G21" s="551">
        <f>IF(ISNUMBER(STDEV(G8:G18)),STDEV(G8:G18),"-")</f>
        <v>1512.3234773023923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1273.5889054165004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202.80598281773311</v>
      </c>
      <c r="BD21" s="550"/>
      <c r="BE21" s="550">
        <f>IF(ISNUMBER(STDEV(BE8:BE18)),STDEV(BE8:BE18),"-")</f>
        <v>0</v>
      </c>
      <c r="BF21" s="555">
        <f>IF(ISNUMBER(STDEV(BF8:BF18)),STDEV(BF8:BF18),"-")</f>
        <v>0</v>
      </c>
      <c r="BG21" s="774">
        <f>IF(ISNUMBER(STDEV(BG8:BG18)),STDEV(BG8:BG18),"-")</f>
        <v>0.22506721251900438</v>
      </c>
      <c r="BH21" s="775">
        <f>IF(ISNUMBER(STDEV(BH8:BH18)),STDEV(BH8:BH18),"-")</f>
        <v>7.5190716711876195</v>
      </c>
      <c r="BI21" s="248">
        <f>IF(ISNUMBER(STDEV(BI8:BI18)),STDEV(BI8:BI18),"-")</f>
        <v>6.5379676366842748E-2</v>
      </c>
      <c r="BJ21" s="229" t="str">
        <f>IF(ISNUMBER(BL21/BM21),BL21/BM21," - ")</f>
        <v xml:space="preserve"> - </v>
      </c>
      <c r="BK21" s="574"/>
      <c r="BL21" s="558">
        <f>IF(ISNUMBER(STDEV(BL8:BL18)),STDEV(BL8:BL18),"-")</f>
        <v>0.51481805678695791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bucHk0Wde/7By+C7Umcf2/wH3fKADV+tLIIlhZz0JtS+0tACuc21InOeXrr/72l14qvxjTWt/piolCWCGNmiA==" saltValue="XRG7sVlUrNY3mo/TWHDR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NAVALCARNERO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90</v>
      </c>
      <c r="G10" s="224">
        <f>IF(ISNUMBER(Datos!I10),Datos!I10," - ")</f>
        <v>90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13</v>
      </c>
      <c r="AA10" s="331">
        <f>IF(ISNUMBER(Datos!L10),Datos!L10,"-")</f>
        <v>99</v>
      </c>
      <c r="AB10" s="333"/>
      <c r="AC10" s="333"/>
      <c r="AD10" s="483"/>
      <c r="AE10" s="483">
        <f>IF(ISNUMBER(Datos!R10),Datos!R10," - ")</f>
        <v>40</v>
      </c>
      <c r="AF10" s="228" t="str">
        <f>IF(ISNUMBER(Datos!BV10),Datos!BV10," - ")</f>
        <v xml:space="preserve"> - </v>
      </c>
      <c r="AG10" s="224" t="str">
        <f>IF(ISNUMBER(Datos!DV10),Datos!DV10," - ")</f>
        <v xml:space="preserve"> - </v>
      </c>
      <c r="AH10" s="297"/>
      <c r="AI10" s="226"/>
      <c r="AJ10" s="224">
        <f>IF(ISNUMBER(Datos!M10),Datos!M10," - ")</f>
        <v>9</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22.846153846153843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384</v>
      </c>
      <c r="AA12" s="331" t="str">
        <f>IF(ISNUMBER(IF(J_V="SI",Datos!L12,Datos!L12+Datos!AB12)-IF(Monitorios="SI",Datos!CD12,0)),
                          IF(J_V="SI",Datos!L12,Datos!L12+Datos!AB12)-IF(Monitorios="SI",Datos!CD12,0),
                          " - ")</f>
        <v xml:space="preserve"> - </v>
      </c>
      <c r="AB12" s="333"/>
      <c r="AC12" s="333"/>
      <c r="AD12" s="483"/>
      <c r="AE12" s="483">
        <f>IF(ISNUMBER(Datos!R12),Datos!R12," - ")</f>
        <v>9042</v>
      </c>
      <c r="AF12" s="228" t="str">
        <f>IF(ISNUMBER(Datos!BV12),Datos!BV12," - ")</f>
        <v xml:space="preserve"> - </v>
      </c>
      <c r="AG12" s="224" t="str">
        <f>IF(ISNUMBER(Datos!DV12),Datos!DV12," - ")</f>
        <v xml:space="preserve"> - </v>
      </c>
      <c r="AH12" s="297"/>
      <c r="AI12" s="226"/>
      <c r="AJ12" s="224">
        <f>IF(ISNUMBER(Datos!M12),Datos!M12," - ")</f>
        <v>457</v>
      </c>
      <c r="AK12" s="228">
        <f>IF(ISNUMBER(Datos!N12),Datos!N12," - ")</f>
        <v>1227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9.9677419354838701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5.8960952275002778E-3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90</v>
      </c>
      <c r="G13" s="897">
        <f>SUBTOTAL(9,G8:G12)</f>
        <v>90</v>
      </c>
      <c r="H13" s="907"/>
      <c r="I13" s="897">
        <f t="shared" ref="I13:N13" si="0">SUBTOTAL(9,I8:I12)</f>
        <v>0</v>
      </c>
      <c r="J13" s="866">
        <f t="shared" si="0"/>
        <v>0</v>
      </c>
      <c r="K13" s="907">
        <f t="shared" si="0"/>
        <v>0</v>
      </c>
      <c r="L13" s="907">
        <f t="shared" si="0"/>
        <v>0</v>
      </c>
      <c r="M13" s="907">
        <f t="shared" si="0"/>
        <v>0</v>
      </c>
      <c r="N13" s="907">
        <f t="shared" si="0"/>
        <v>440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397</v>
      </c>
      <c r="AA13" s="899">
        <f t="shared" si="2"/>
        <v>99</v>
      </c>
      <c r="AB13" s="899">
        <f t="shared" si="2"/>
        <v>0</v>
      </c>
      <c r="AC13" s="899">
        <f t="shared" si="2"/>
        <v>0</v>
      </c>
      <c r="AD13" s="899">
        <f t="shared" si="2"/>
        <v>0</v>
      </c>
      <c r="AE13" s="899">
        <f t="shared" si="2"/>
        <v>9082</v>
      </c>
      <c r="AF13" s="907">
        <f t="shared" si="2"/>
        <v>0</v>
      </c>
      <c r="AG13" s="907">
        <f t="shared" si="2"/>
        <v>0</v>
      </c>
      <c r="AH13" s="907">
        <f t="shared" si="2"/>
        <v>0</v>
      </c>
      <c r="AI13" s="907">
        <f t="shared" si="2"/>
        <v>0</v>
      </c>
      <c r="AJ13" s="907">
        <f t="shared" si="2"/>
        <v>466</v>
      </c>
      <c r="AK13" s="907">
        <f t="shared" si="2"/>
        <v>1227</v>
      </c>
      <c r="AL13" s="907">
        <f t="shared" si="2"/>
        <v>0</v>
      </c>
      <c r="AM13" s="907">
        <f t="shared" si="2"/>
        <v>0</v>
      </c>
      <c r="AN13" s="907">
        <f t="shared" si="2"/>
        <v>0</v>
      </c>
      <c r="AO13" s="903">
        <f>IF(ISNUMBER(((NºAsuntos!I13/NºAsuntos!G13)*11)/factor_trimestre),((NºAsuntos!I13/NºAsuntos!G13)*11)/factor_trimestre," - ")</f>
        <v>10.046676096181047</v>
      </c>
      <c r="AP13" s="909" t="str">
        <f>IF(ISNUMBER(Datos!CI13/Datos!CJ13),Datos!CI13/Datos!CJ13," - ")</f>
        <v xml:space="preserve"> - </v>
      </c>
      <c r="AQ13" s="927">
        <f t="shared" ref="AQ13:AV13" si="3">SUBTOTAL(9,AQ9:AQ12)</f>
        <v>0</v>
      </c>
      <c r="AR13" s="927">
        <f t="shared" si="3"/>
        <v>-0.19410390477249972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2808</v>
      </c>
      <c r="G16" s="224">
        <f>IF(ISNUMBER(IF(D_I="SI",Datos!I16,Datos!I16+Datos!AC16)),IF(D_I="SI",Datos!I16,Datos!I16+Datos!AC16)," - ")</f>
        <v>2787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2306</v>
      </c>
      <c r="Z16" s="618">
        <f>IF(ISNUMBER(Datos!Q16),Datos!Q16," - ")</f>
        <v>153</v>
      </c>
      <c r="AA16" s="331">
        <f>IF(ISNUMBER(IF(D_I="SI",Datos!L16,Datos!L16+Datos!AF16)),IF(D_I="SI",Datos!L16,Datos!L16+Datos!AF16)," - ")</f>
        <v>2951</v>
      </c>
      <c r="AB16" s="333"/>
      <c r="AC16" s="333"/>
      <c r="AD16" s="483"/>
      <c r="AE16" s="483">
        <f>IF(ISNUMBER(Datos!R16),Datos!R16," - ")</f>
        <v>228</v>
      </c>
      <c r="AF16" s="228" t="str">
        <f>IF(ISNUMBER(Datos!BV16),Datos!BV16," - ")</f>
        <v xml:space="preserve"> - </v>
      </c>
      <c r="AG16" s="224"/>
      <c r="AH16" s="297"/>
      <c r="AI16" s="226"/>
      <c r="AJ16" s="224">
        <f>IF(ISNUMBER(Datos!M16),Datos!M16," - ")</f>
        <v>270</v>
      </c>
      <c r="AK16" s="228">
        <f>IF(ISNUMBER(Datos!N16),Datos!N16," - ")</f>
        <v>1429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3.8391153512575884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144</v>
      </c>
      <c r="Z17" s="618">
        <f>IF(ISNUMBER(Datos!Q17),Datos!Q17," - ")</f>
        <v>0</v>
      </c>
      <c r="AA17" s="331">
        <f>IF(ISNUMBER(Datos!L17),Datos!L17,"-")</f>
        <v>162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12</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2808</v>
      </c>
      <c r="G18" s="897">
        <f>SUBTOTAL(9,G15:G17)</f>
        <v>2971</v>
      </c>
      <c r="H18" s="931">
        <f>SUBTOTAL(9,H15:H17)</f>
        <v>0</v>
      </c>
      <c r="I18" s="910">
        <f>SUBTOTAL(9,I15:I17)</f>
        <v>0</v>
      </c>
      <c r="J18" s="866">
        <f>SUBTOTAL(9,J14:J17)</f>
        <v>0</v>
      </c>
      <c r="K18" s="931">
        <f t="shared" ref="K18:S18" si="4">SUBTOTAL(9,K15:K17)</f>
        <v>0</v>
      </c>
      <c r="L18" s="931">
        <f t="shared" si="4"/>
        <v>0</v>
      </c>
      <c r="M18" s="931">
        <f t="shared" si="4"/>
        <v>0</v>
      </c>
      <c r="N18" s="931">
        <f t="shared" si="4"/>
        <v>73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2450</v>
      </c>
      <c r="Z18" s="931">
        <f t="shared" si="5"/>
        <v>153</v>
      </c>
      <c r="AA18" s="931">
        <f t="shared" si="5"/>
        <v>3113</v>
      </c>
      <c r="AB18" s="931">
        <f t="shared" si="5"/>
        <v>0</v>
      </c>
      <c r="AC18" s="931">
        <f t="shared" si="5"/>
        <v>0</v>
      </c>
      <c r="AD18" s="931">
        <f t="shared" si="5"/>
        <v>0</v>
      </c>
      <c r="AE18" s="931">
        <f t="shared" si="5"/>
        <v>228</v>
      </c>
      <c r="AF18" s="931">
        <f t="shared" si="5"/>
        <v>0</v>
      </c>
      <c r="AG18" s="931">
        <f t="shared" si="5"/>
        <v>0</v>
      </c>
      <c r="AH18" s="931">
        <f t="shared" si="5"/>
        <v>0</v>
      </c>
      <c r="AI18" s="931">
        <f t="shared" si="5"/>
        <v>0</v>
      </c>
      <c r="AJ18" s="931">
        <f t="shared" si="5"/>
        <v>282</v>
      </c>
      <c r="AK18" s="931">
        <f t="shared" si="5"/>
        <v>1526</v>
      </c>
      <c r="AL18" s="931">
        <f t="shared" si="5"/>
        <v>0</v>
      </c>
      <c r="AM18" s="931">
        <f t="shared" si="5"/>
        <v>0</v>
      </c>
      <c r="AN18" s="931">
        <f t="shared" si="5"/>
        <v>0</v>
      </c>
      <c r="AO18" s="933">
        <f>IF(ISNUMBER(((NºAsuntos!I18/NºAsuntos!G18)*11)/factor_trimestre),((NºAsuntos!I18/NºAsuntos!G18)*11)/factor_trimestre," - ")</f>
        <v>3.8118367346938773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2898</v>
      </c>
      <c r="G19" s="819">
        <f t="shared" si="7"/>
        <v>3061</v>
      </c>
      <c r="H19" s="820">
        <f t="shared" si="7"/>
        <v>0</v>
      </c>
      <c r="I19" s="819">
        <f t="shared" si="7"/>
        <v>0</v>
      </c>
      <c r="J19" s="821">
        <f t="shared" si="7"/>
        <v>0</v>
      </c>
      <c r="K19" s="819">
        <f t="shared" si="7"/>
        <v>0</v>
      </c>
      <c r="L19" s="822">
        <f t="shared" si="7"/>
        <v>0</v>
      </c>
      <c r="M19" s="819">
        <f t="shared" si="7"/>
        <v>0</v>
      </c>
      <c r="N19" s="820">
        <f t="shared" si="7"/>
        <v>513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2463</v>
      </c>
      <c r="Z19" s="826">
        <f t="shared" si="8"/>
        <v>550</v>
      </c>
      <c r="AA19" s="827">
        <f t="shared" si="8"/>
        <v>3212</v>
      </c>
      <c r="AB19" s="827">
        <f t="shared" si="8"/>
        <v>0</v>
      </c>
      <c r="AC19" s="827">
        <f t="shared" si="8"/>
        <v>0</v>
      </c>
      <c r="AD19" s="828">
        <f t="shared" si="8"/>
        <v>0</v>
      </c>
      <c r="AE19" s="828">
        <f t="shared" si="8"/>
        <v>9310</v>
      </c>
      <c r="AF19" s="829">
        <f t="shared" si="8"/>
        <v>0</v>
      </c>
      <c r="AG19" s="830">
        <f t="shared" si="8"/>
        <v>0</v>
      </c>
      <c r="AH19" s="831">
        <f t="shared" si="8"/>
        <v>0</v>
      </c>
      <c r="AI19" s="829">
        <f t="shared" si="8"/>
        <v>0</v>
      </c>
      <c r="AJ19" s="819">
        <f t="shared" si="8"/>
        <v>748</v>
      </c>
      <c r="AK19" s="819">
        <f t="shared" si="8"/>
        <v>2753</v>
      </c>
      <c r="AL19" s="819">
        <f t="shared" si="8"/>
        <v>0</v>
      </c>
      <c r="AM19" s="832">
        <f t="shared" si="8"/>
        <v>0</v>
      </c>
      <c r="AN19" s="822">
        <f>IF(ISNUMBER(Datos!K19/Datos!J19),Datos!K19/Datos!J19," - ")</f>
        <v>1.0346498667312818</v>
      </c>
      <c r="AO19" s="822">
        <f>IF(ISNUMBER(FIND("06",Criterios!A8,1)),(IF(ISNUMBER(((Datos!R19/Datos!Q19)*11)/factor_trimestre),((Datos!R19/Datos!Q19)*11)/factor_trimestre," - ")),(IF(ISNUMBER(((Datos!L19/Datos!K19)*11)/factor_trimestre),((Datos!L19/Datos!K19)*11)/factor_trimestre," - ")))</f>
        <v>6.9793911007025757</v>
      </c>
      <c r="AP19" s="833" t="str">
        <f>IF(ISNUMBER(Datos!CI19/Datos!CJ19),Datos!CI19/Datos!CJ19," - ")</f>
        <v xml:space="preserve"> - </v>
      </c>
      <c r="AQ19" s="833">
        <f>IF(OR(ISNUMBER(FIND("01",Criterios!A8,1)),ISNUMBER(FIND("02",Criterios!A8,1)),ISNUMBER(FIND("03",Criterios!A8,1)),ISNUMBER(FIND("04",Criterios!A8,1))),(J19-Y19+K19)/(F19-K19),(I19-Y19+K19)/(F19-K19))</f>
        <v>-0.84989648033126297</v>
      </c>
      <c r="AR19" s="833">
        <f>IF(ISNUMBER((Datos!P19-Datos!Q19+O19)/(Datos!R19-Datos!P19+Datos!Q19-O19)),(Datos!P19-Datos!Q19+O19)/(Datos!R19-Datos!P19+Datos!Q19-O19)," - ")</f>
        <v>-3.958489354873221E-3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1224.4000000000001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1569.2380316574029</v>
      </c>
      <c r="G21" s="551">
        <f>IF(ISNUMBER(STDEV(G8:G18)),STDEV(G8:G18),"-")</f>
        <v>1512.3234773023923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202.80598281773311</v>
      </c>
      <c r="AK21" s="251"/>
      <c r="AL21" s="251">
        <f>IF(ISNUMBER(STDEV(AL8:AL18)),STDEV(AL8:AL18),"-")</f>
        <v>0</v>
      </c>
      <c r="AM21" s="253">
        <f>IF(ISNUMBER(STDEV(AM8:AM18)),STDEV(AM8:AM18),"-")</f>
        <v>0</v>
      </c>
      <c r="AN21" s="538">
        <f>IF(ISNUMBER(STDEV(AN8:AN18)),STDEV(AN8:AN18),"-")</f>
        <v>0</v>
      </c>
      <c r="AO21" s="539">
        <f>IF(ISNUMBER(STDEV(AO8:AO18)),STDEV(AO8:AO18),"-")</f>
        <v>7.4691134537552131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p31vwnqpqnBgG7oj+KOd+iAp33KRYP0qXcFsBuEV8FiRSv9yldfZYLl23qYdnpldbipEMWjfWP0JLDf8EkQ7A==" saltValue="OGV79mpQN8LzH47mnmak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OVKg+yeNPUGmz3kH6oSlFquxGCL6BazU1sFkOTW5BNSGuFGHMEu+tiQv2OuX3Z2eNyJvo8Pa6sGJQj/2FnjxA==" saltValue="JntPX6/QLgMMtujoEEFi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pZgQh5fAp20m8OEu49pJZaY4ws72SA9SbLmRVmBFUk0DLf6OrRzRt+qWhS7uPVKzw4Iq5CE/FznXAVmD9OQ0g==" saltValue="kdAw5QluJkcLyn1OYNYs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0.2197076850542197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0.15535679398063704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OjONLxjshKHWCckV+PGZSBmqYMOFWS5VBbwkZt+e3OYqE/vTBQjVce+PJxN98AS8ohrO5wXoZ5J3pBYG0XHnA==" saltValue="gb79umNcpJSi18JJkRz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27UVMWVuGRTDjHhYGPCPsTawI3mx+/h5/v9Dg2r9d0MUma6aN97JdhOxYtczwgAP8PTz9hRg+3o16S5dXRQJA==" saltValue="g3NWJJU4kB84UKPP0U3G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NAVALCARNERO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90</v>
      </c>
      <c r="D10" s="403">
        <f>IF(ISNUMBER(C10/Datos!BH10),C10/Datos!BH10," - ")</f>
        <v>90</v>
      </c>
      <c r="E10" s="402">
        <f>IF(ISNUMBER(Datos!J10),Datos!J10," - ")</f>
        <v>22</v>
      </c>
      <c r="F10" s="403">
        <f>IF(ISNUMBER(E10/B10),E10/B10," - ")</f>
        <v>22</v>
      </c>
      <c r="G10" s="402">
        <f>IF(ISNUMBER(Datos!K10),Datos!K10," - ")</f>
        <v>13</v>
      </c>
      <c r="H10" s="403">
        <f>IF(ISNUMBER(G10/B10),G10/B10," - ")</f>
        <v>13</v>
      </c>
      <c r="I10" s="402">
        <f>IF(ISNUMBER(Datos!L10),Datos!L10," - ")</f>
        <v>99</v>
      </c>
      <c r="J10" s="403">
        <f>IF(ISNUMBER(I10/B10),I10/B10," - ")</f>
        <v>99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7473</v>
      </c>
      <c r="D12" s="403">
        <f>IF(ISNUMBER(C12/Datos!BH12),C12/Datos!BH12," - ")</f>
        <v>934.125</v>
      </c>
      <c r="E12" s="402">
        <f>IF(ISNUMBER(IF(J_V="SI",Datos!J12,Datos!J12+Datos!Z12)),IF(J_V="SI",Datos!J12,Datos!J12+Datos!Z12)," - ")</f>
        <v>1852</v>
      </c>
      <c r="F12" s="403">
        <f>IF(ISNUMBER(E12/B12),E12/B12," - ")</f>
        <v>231.5</v>
      </c>
      <c r="G12" s="402">
        <f>IF(ISNUMBER(IF(J_V="SI",Datos!K12,Datos!K12+Datos!AA12)),IF(J_V="SI",Datos!K12,Datos!K12+Datos!AA12)," - ")</f>
        <v>2108</v>
      </c>
      <c r="H12" s="403">
        <f>IF(ISNUMBER(G12/B12),G12/B12," - ")</f>
        <v>263.5</v>
      </c>
      <c r="I12" s="402">
        <f>IF(ISNUMBER(IF(J_V="SI",Datos!L12,Datos!L12+Datos!AB12)),IF(J_V="SI",Datos!L12,Datos!L12+Datos!AB12)," - ")</f>
        <v>7004</v>
      </c>
      <c r="J12" s="403">
        <f>IF(ISNUMBER(I12/B12),I12/B12," - ")</f>
        <v>875.5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7563</v>
      </c>
      <c r="D13" s="849" t="str">
        <f>IF(ISNUMBER(C13/Datos!BI13),C13/Datos!BI13," - ")</f>
        <v xml:space="preserve"> - </v>
      </c>
      <c r="E13" s="848">
        <f>SUBTOTAL(9,E8:E12)</f>
        <v>1874</v>
      </c>
      <c r="F13" s="849">
        <f>IF(ISNUMBER(E13/B13),E13/B13," - ")</f>
        <v>234.25</v>
      </c>
      <c r="G13" s="848">
        <f>SUBTOTAL(9,G8:G12)</f>
        <v>2121</v>
      </c>
      <c r="H13" s="849">
        <f>IF(ISNUMBER(G13/B13),G13/B13," - ")</f>
        <v>265.125</v>
      </c>
      <c r="I13" s="848">
        <f>SUBTOTAL(9,I8:I12)</f>
        <v>7103</v>
      </c>
      <c r="J13" s="849">
        <f>IF(ISNUMBER(I13/B13),I13/B13," - ")</f>
        <v>887.875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2787</v>
      </c>
      <c r="D16" s="403">
        <f>IF(ISNUMBER(C16/Datos!BH16),C16/Datos!BH16," - ")</f>
        <v>348.375</v>
      </c>
      <c r="E16" s="402">
        <f>IF(ISNUMBER(IF(D_I="SI",Datos!J16,Datos!J16+Datos!AD16)),IF(D_I="SI",Datos!J16,Datos!J16+Datos!AD16)," - ")</f>
        <v>2449</v>
      </c>
      <c r="F16" s="403">
        <f>IF(ISNUMBER(E16/B16),E16/B16," - ")</f>
        <v>306.125</v>
      </c>
      <c r="G16" s="402">
        <f>IF(ISNUMBER(IF(D_I="SI",Datos!K16,Datos!K16+Datos!AE16)),IF(D_I="SI",Datos!K16,Datos!K16+Datos!AE16)," - ")</f>
        <v>2306</v>
      </c>
      <c r="H16" s="403">
        <f>IF(ISNUMBER(G16/B16),G16/B16," - ")</f>
        <v>288.25</v>
      </c>
      <c r="I16" s="402">
        <f>IF(ISNUMBER(IF(D_I="SI",Datos!L16,Datos!L16+Datos!AF16)),IF(D_I="SI",Datos!L16,Datos!L16+Datos!AF16)," - ")</f>
        <v>2951</v>
      </c>
      <c r="J16" s="403">
        <f>IF(ISNUMBER(I16/B16),I16/B16," - ")</f>
        <v>368.875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184</v>
      </c>
      <c r="D17" s="403">
        <f>IF(ISNUMBER(C17/Datos!BH17),C17/Datos!BH17," - ")</f>
        <v>184</v>
      </c>
      <c r="E17" s="402">
        <f>IF(ISNUMBER(IF(D_I="SI",Datos!J17,Datos!J17+Datos!AD17)),IF(D_I="SI",Datos!J17,Datos!J17+Datos!AD17)," - ")</f>
        <v>122</v>
      </c>
      <c r="F17" s="403">
        <f>IF(ISNUMBER(E17/B17),E17/B17," - ")</f>
        <v>122</v>
      </c>
      <c r="G17" s="402">
        <f>IF(ISNUMBER(IF(D_I="SI",Datos!K17,Datos!K17+Datos!AE17)),IF(D_I="SI",Datos!K17,Datos!K17+Datos!AE17)," - ")</f>
        <v>144</v>
      </c>
      <c r="H17" s="403">
        <f>IF(ISNUMBER(G17/B17),G17/B17," - ")</f>
        <v>144</v>
      </c>
      <c r="I17" s="402">
        <f>IF(ISNUMBER(IF(D_I="SI",Datos!L17,Datos!L17+Datos!AF17)),IF(D_I="SI",Datos!L17,Datos!L17+Datos!AF17)," - ")</f>
        <v>162</v>
      </c>
      <c r="J17" s="403">
        <f>IF(ISNUMBER(I17/B17),I17/B17," - ")</f>
        <v>162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2971</v>
      </c>
      <c r="D18" s="849" t="str">
        <f>IF(ISNUMBER(C18/Datos!BI18),C18/Datos!BI18," - ")</f>
        <v xml:space="preserve"> - </v>
      </c>
      <c r="E18" s="848">
        <f>SUBTOTAL(9,E14:E17)</f>
        <v>2571</v>
      </c>
      <c r="F18" s="849">
        <f>IF(ISNUMBER(E18/B18),E18/B18," - ")</f>
        <v>321.375</v>
      </c>
      <c r="G18" s="848">
        <f>SUBTOTAL(9,G14:G17)</f>
        <v>2450</v>
      </c>
      <c r="H18" s="849">
        <f>IF(ISNUMBER(G18/B18),G18/B18," - ")</f>
        <v>306.25</v>
      </c>
      <c r="I18" s="848">
        <f>SUBTOTAL(9,I14:I17)</f>
        <v>3113</v>
      </c>
      <c r="J18" s="849">
        <f>IF(ISNUMBER(I18/B18),I18/B18," - ")</f>
        <v>389.125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10534</v>
      </c>
      <c r="D19" s="794" t="str">
        <f>IF(ISNUMBER(C19/Datos!BI19),C19/Datos!BI19," - ")</f>
        <v xml:space="preserve"> - </v>
      </c>
      <c r="E19" s="793">
        <f>SUBTOTAL(9,E9:E18)</f>
        <v>4445</v>
      </c>
      <c r="F19" s="794">
        <f>IF(ISNUMBER(E19/B19),E19/B19," - ")</f>
        <v>555.625</v>
      </c>
      <c r="G19" s="793">
        <f>SUBTOTAL(9,G9:G18)</f>
        <v>4571</v>
      </c>
      <c r="H19" s="794">
        <f>IF(ISNUMBER(G19/B19),G19/B19," - ")</f>
        <v>571.375</v>
      </c>
      <c r="I19" s="793">
        <f>SUBTOTAL(9,I9:I18)</f>
        <v>10216</v>
      </c>
      <c r="J19" s="794">
        <f>IF(ISNUMBER(I19/B19),I19/B19," - ")</f>
        <v>1277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dUKLyaZDEOq+AJYKM2kSoq9kSwpscl3qzndNyXqOKM/1I0u/BfWlgcajXzB4IcuhieORgET6+9UjvAvbYgIiQ==" saltValue="M6MzgPlUPiw8TdQIoeVX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NAVALCARNERO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90</v>
      </c>
      <c r="G10" s="683">
        <f>IF(ISNUMBER(Datos!I10),Datos!I10," - ")</f>
        <v>90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99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22.846153846153843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457</v>
      </c>
      <c r="AM12" s="689">
        <f>IF(ISNUMBER(Datos!N12+DatosP!N16),Datos!N12+DatosP!N16," - ")</f>
        <v>1227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9.9677419354838701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5.8960952275002778E-3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90</v>
      </c>
      <c r="G13" s="937">
        <f t="shared" si="0"/>
        <v>90</v>
      </c>
      <c r="H13" s="937">
        <f t="shared" si="0"/>
        <v>0</v>
      </c>
      <c r="I13" s="939">
        <f t="shared" si="0"/>
        <v>0</v>
      </c>
      <c r="J13" s="938">
        <f t="shared" si="0"/>
        <v>0</v>
      </c>
      <c r="K13" s="938">
        <f t="shared" si="0"/>
        <v>0</v>
      </c>
      <c r="L13" s="940">
        <f t="shared" si="0"/>
        <v>0</v>
      </c>
      <c r="M13" s="940">
        <f t="shared" si="0"/>
        <v>0</v>
      </c>
      <c r="N13" s="938">
        <f t="shared" si="0"/>
        <v>440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384</v>
      </c>
      <c r="AE13" s="938">
        <f t="shared" si="1"/>
        <v>0</v>
      </c>
      <c r="AF13" s="938">
        <f t="shared" si="1"/>
        <v>99</v>
      </c>
      <c r="AG13" s="938">
        <f t="shared" si="1"/>
        <v>0</v>
      </c>
      <c r="AH13" s="938">
        <f t="shared" si="1"/>
        <v>9042</v>
      </c>
      <c r="AI13" s="938">
        <f t="shared" si="1"/>
        <v>0</v>
      </c>
      <c r="AJ13" s="938">
        <f t="shared" si="1"/>
        <v>0</v>
      </c>
      <c r="AK13" s="938">
        <f t="shared" si="1"/>
        <v>0</v>
      </c>
      <c r="AL13" s="938">
        <f t="shared" si="1"/>
        <v>466</v>
      </c>
      <c r="AM13" s="938">
        <f t="shared" si="1"/>
        <v>1227</v>
      </c>
      <c r="AN13" s="938">
        <f t="shared" si="1"/>
        <v>0</v>
      </c>
      <c r="AO13" s="938">
        <f t="shared" si="1"/>
        <v>0</v>
      </c>
      <c r="AP13" s="943">
        <f>IF(ISNUMBER(((Datos!L13/Datos!K13)*11)/factor_trimestre),((Datos!L13/Datos!K13)*11)/factor_trimestre," - ")</f>
        <v>11.243406593406593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-0.14444444444444443</v>
      </c>
      <c r="AU13" s="938" t="str">
        <f>IF(ISNUMBER((DatosP!#REF!-DatosP!#REF!+DatosP!#REF!)/(DatosP!#REF!+DatosP!#REF!-DatosP!#REF!-DatosP!#REF!)),(DatosP!#REF!-DatosP!#REF!+DatosP!#REF!)/(DatosP!#REF!+DatosP!#REF!-DatosP!#REF!-DatosP!#REF!)," - ")</f>
        <v xml:space="preserve"> - </v>
      </c>
      <c r="AV13" s="944">
        <f>SUBTOTAL(9,AV9:AV12)</f>
        <v>5.8960952275002778E-3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3.8118367346938773</v>
      </c>
      <c r="AQ18" s="943">
        <f>IF(ISNUMBER(((Datos!M18/Datos!L18)*11)/factor_trimestre),((Datos!M18/Datos!L18)*11)/factor_trimestre," - ")</f>
        <v>0.27176357211692903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-0.25974025974025972</v>
      </c>
      <c r="AW18" s="945">
        <f>IF(ISNUMBER((Datos!Q18-Datos!R18)/(Datos!S18-Datos!Q18+Datos!R18)),(Datos!Q18-Datos!R18)/(Datos!S18-Datos!Q18+Datos!R18)," - ")</f>
        <v>-2.720348204570185E-2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90</v>
      </c>
      <c r="G19" s="950">
        <f t="shared" si="4"/>
        <v>90</v>
      </c>
      <c r="H19" s="950">
        <f t="shared" si="4"/>
        <v>0</v>
      </c>
      <c r="I19" s="951">
        <f t="shared" si="4"/>
        <v>0</v>
      </c>
      <c r="J19" s="952">
        <f t="shared" si="4"/>
        <v>0</v>
      </c>
      <c r="K19" s="952">
        <f t="shared" si="4"/>
        <v>0</v>
      </c>
      <c r="L19" s="952">
        <f t="shared" si="4"/>
        <v>0</v>
      </c>
      <c r="M19" s="952">
        <f t="shared" si="4"/>
        <v>0</v>
      </c>
      <c r="N19" s="951">
        <f t="shared" si="4"/>
        <v>440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384</v>
      </c>
      <c r="AE19" s="956">
        <f t="shared" si="5"/>
        <v>0</v>
      </c>
      <c r="AF19" s="957">
        <f t="shared" si="5"/>
        <v>99</v>
      </c>
      <c r="AG19" s="957">
        <f t="shared" si="5"/>
        <v>0</v>
      </c>
      <c r="AH19" s="957">
        <f t="shared" si="5"/>
        <v>9042</v>
      </c>
      <c r="AI19" s="957">
        <f t="shared" si="5"/>
        <v>0</v>
      </c>
      <c r="AJ19" s="958">
        <f t="shared" si="5"/>
        <v>0</v>
      </c>
      <c r="AK19" s="958">
        <f t="shared" si="5"/>
        <v>0</v>
      </c>
      <c r="AL19" s="950">
        <f t="shared" si="5"/>
        <v>466</v>
      </c>
      <c r="AM19" s="950">
        <f t="shared" si="5"/>
        <v>1227</v>
      </c>
      <c r="AN19" s="950">
        <f t="shared" si="5"/>
        <v>0</v>
      </c>
      <c r="AO19" s="950">
        <f t="shared" si="5"/>
        <v>0</v>
      </c>
      <c r="AP19" s="950">
        <f>IF(ISNUMBER(((Datos!L19/Datos!K19)*11)/factor_trimestre),((Datos!L19/Datos!K19)*11)/factor_trimestre," - ")</f>
        <v>6.9793911007025757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-0.14444444444444443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-3.958489354873221E-3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263.90023367426812</v>
      </c>
      <c r="AM21" s="735"/>
      <c r="AN21" s="735">
        <f>IF(ISNUMBER(STDEV(AN8:AN18)),STDEV(AN8:AN18),"-")</f>
        <v>0</v>
      </c>
      <c r="AO21" s="741">
        <f>IF(ISNUMBER(STDEV(AO8:AO18)),STDEV(AO8:AO18),"-")</f>
        <v>0</v>
      </c>
      <c r="AP21" s="778">
        <f>IF(ISNUMBER(STDEV(AP8:AP18)),STDEV(AP8:AP18),"-")</f>
        <v>7.9452983202706733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FpvrAIHDYx0Y5gJsqOYupG7mNt4j8Ra2XIVlL3W0MAHjBbvB9AzGYaXg4Te1Gk/c0NRCcLJMOIBgADaNPXEGw==" saltValue="qqta97FUZd+hq8Yl8g6b5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NAVALCARNERO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faH3EV+bb/ck79H7ahwJMDZq4RFdIjN0RC0Be13O8Hbgd0/Yu7NTAxP5Qpyh3T27gvrhdsy9JpakBNlvi+9TVw==" saltValue="Gz/BXriyeNd01pmS/62k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NAVALCARNERO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457</v>
      </c>
      <c r="E12" s="403">
        <f t="shared" si="0"/>
        <v>57.125</v>
      </c>
      <c r="F12" s="402">
        <f>IF(ISNUMBER(Datos!N12),Datos!N12," - ")</f>
        <v>1227</v>
      </c>
      <c r="G12" s="403">
        <f t="shared" si="1"/>
        <v>153.375</v>
      </c>
      <c r="H12" s="402">
        <f>IF(ISNUMBER(Datos!O12),Datos!O12," - ")</f>
        <v>546</v>
      </c>
      <c r="I12" s="403">
        <f t="shared" si="2"/>
        <v>68.25</v>
      </c>
      <c r="BZ12" s="1185">
        <f>Datos!EZ12</f>
        <v>0</v>
      </c>
    </row>
    <row r="13" spans="1:78" ht="14.25" thickTop="1" thickBot="1">
      <c r="A13" s="847" t="str">
        <f>Datos!A13</f>
        <v>TOTAL</v>
      </c>
      <c r="B13" s="848">
        <f>Datos!AP13</f>
        <v>8</v>
      </c>
      <c r="C13" s="850">
        <f>Datos!AR13</f>
        <v>8</v>
      </c>
      <c r="D13" s="848">
        <f>SUBTOTAL(9,D9:D12)</f>
        <v>466</v>
      </c>
      <c r="E13" s="849">
        <f t="shared" si="0"/>
        <v>58.25</v>
      </c>
      <c r="F13" s="848">
        <f>SUBTOTAL(9,F9:F12)</f>
        <v>1227</v>
      </c>
      <c r="G13" s="849">
        <f t="shared" si="1"/>
        <v>153.375</v>
      </c>
      <c r="H13" s="848">
        <f>SUBTOTAL(9,H9:H12)</f>
        <v>546</v>
      </c>
      <c r="I13" s="849">
        <f>IF(ISNUMBER(H13/B13),H13/B13," - ")</f>
        <v>68.25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270</v>
      </c>
      <c r="E16" s="403">
        <f t="shared" si="3"/>
        <v>33.75</v>
      </c>
      <c r="F16" s="402">
        <f>IF(ISNUMBER(Datos!N16),Datos!N16," - ")</f>
        <v>1429</v>
      </c>
      <c r="G16" s="403">
        <f t="shared" si="4"/>
        <v>178.625</v>
      </c>
      <c r="H16" s="402">
        <f>IF(ISNUMBER(Datos!O16),Datos!O16," - ")</f>
        <v>45</v>
      </c>
      <c r="I16" s="403">
        <f t="shared" si="5"/>
        <v>5.625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97</v>
      </c>
      <c r="G17" s="403">
        <f>IF(ISNUMBER(F17/B17),F17/B17," - ")</f>
        <v>97</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282</v>
      </c>
      <c r="E18" s="849">
        <f t="shared" si="3"/>
        <v>35.25</v>
      </c>
      <c r="F18" s="848">
        <f>SUBTOTAL(9,F15:F17)</f>
        <v>1526</v>
      </c>
      <c r="G18" s="849">
        <f t="shared" si="4"/>
        <v>190.75</v>
      </c>
      <c r="H18" s="848">
        <f>SUBTOTAL(9,H15:H17)</f>
        <v>45</v>
      </c>
      <c r="I18" s="849">
        <f>IF(ISNUMBER(H18/B18),H18/B18," - ")</f>
        <v>5.625</v>
      </c>
      <c r="BZ18" s="1185"/>
    </row>
    <row r="19" spans="1:78" ht="14.25" thickTop="1" thickBot="1">
      <c r="A19" s="792" t="str">
        <f>Datos!A19</f>
        <v>TOTAL JURISDICCIONES</v>
      </c>
      <c r="B19" s="793">
        <f>Datos!AP19</f>
        <v>8</v>
      </c>
      <c r="C19" s="793">
        <f>Datos!AR19</f>
        <v>8</v>
      </c>
      <c r="D19" s="793">
        <f>SUBTOTAL(9,D8:D18)</f>
        <v>748</v>
      </c>
      <c r="E19" s="794">
        <f>IF(ISNUMBER(D19/B19),D19/B19," - ")</f>
        <v>93.5</v>
      </c>
      <c r="F19" s="793">
        <f>SUBTOTAL(9,F8:F18)</f>
        <v>2753</v>
      </c>
      <c r="G19" s="794">
        <f>IF(ISNUMBER(F19/B19),F19/B19," - ")</f>
        <v>344.125</v>
      </c>
      <c r="H19" s="793">
        <f>SUBTOTAL(9,H8:H18)</f>
        <v>591</v>
      </c>
      <c r="I19" s="794">
        <f>IF(ISNUMBER(H19/B19),H19/B19," - ")</f>
        <v>73.875</v>
      </c>
    </row>
    <row r="22" spans="1:78">
      <c r="A22" s="390" t="str">
        <f>Criterios!A4</f>
        <v>Fecha Informe: 17 mar. 2026</v>
      </c>
    </row>
    <row r="27" spans="1:78">
      <c r="A27" s="413"/>
    </row>
  </sheetData>
  <sheetProtection algorithmName="SHA-512" hashValue="Upuk5mkd1pvJfFqdtYrXsLcf1xDK6yuiI7BRvVo751tZzO+5PM9w/TR6oXTUDY4vKmiz5vd2wC+wEZMM2HeuqA==" saltValue="C2j1LcDviZ577Omns7nF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NAVALCARNERO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13</v>
      </c>
      <c r="D10" s="407">
        <f>IF(ISNUMBER(Datos!R10),Datos!R10," - ")</f>
        <v>40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437</v>
      </c>
      <c r="C12" s="433">
        <f>IF(ISNUMBER(Datos!Q12),Datos!Q12," - ")</f>
        <v>384</v>
      </c>
      <c r="D12" s="407">
        <f>IF(ISNUMBER(Datos!R12),Datos!R12," - ")</f>
        <v>9042</v>
      </c>
    </row>
    <row r="13" spans="1:4" ht="14.25" thickTop="1" thickBot="1">
      <c r="A13" s="847" t="str">
        <f>Datos!A13</f>
        <v>TOTAL</v>
      </c>
      <c r="B13" s="848">
        <f>SUBTOTAL(9,B9:B12)</f>
        <v>440</v>
      </c>
      <c r="C13" s="852">
        <f>SUBTOTAL(9,C9:C12)</f>
        <v>397</v>
      </c>
      <c r="D13" s="850">
        <f>SUBTOTAL(9,D9:D12)</f>
        <v>9082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73</v>
      </c>
      <c r="C16" s="433">
        <f>IF(ISNUMBER(Datos!Q16),Datos!Q16," - ")</f>
        <v>153</v>
      </c>
      <c r="D16" s="407">
        <f>IF(ISNUMBER(Datos!R16),Datos!R16," - ")</f>
        <v>228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73</v>
      </c>
      <c r="C18" s="852">
        <f>SUBTOTAL(9,C15:C17)</f>
        <v>153</v>
      </c>
      <c r="D18" s="850">
        <f>SUBTOTAL(9,D15:D17)</f>
        <v>228</v>
      </c>
    </row>
    <row r="19" spans="1:4" ht="16.5" customHeight="1" thickTop="1" thickBot="1">
      <c r="A19" s="792" t="str">
        <f>Datos!A19</f>
        <v>TOTAL JURISDICCIONES</v>
      </c>
      <c r="B19" s="797">
        <f>SUBTOTAL(9,B8:B18)</f>
        <v>513</v>
      </c>
      <c r="C19" s="798">
        <f>SUBTOTAL(9,C8:C18)</f>
        <v>550</v>
      </c>
      <c r="D19" s="799">
        <f>SUBTOTAL(9,D8:D18)</f>
        <v>9310</v>
      </c>
    </row>
    <row r="20" spans="1:4" ht="7.5" customHeight="1"/>
    <row r="21" spans="1:4" ht="6" customHeight="1"/>
    <row r="22" spans="1:4">
      <c r="A22" s="390" t="str">
        <f>Criterios!A4</f>
        <v>Fecha Informe: 17 mar. 2026</v>
      </c>
    </row>
    <row r="27" spans="1:4">
      <c r="A27" s="413"/>
    </row>
  </sheetData>
  <sheetProtection algorithmName="SHA-512" hashValue="SNSvtdpPsZtwT/6gNMovcJxZ0ZpHIE3Y+fvE0IFp3yZ3kcYisf7dJZn0H6JckhWa/LWIksRpqtK5oaHI45PiPg==" saltValue="EMqKO2WRxiRwN56NGNc4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NAVALCARNERO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0.1111111111111111</v>
      </c>
      <c r="C10" s="455">
        <f>IF(ISNUMBER((Datos!J10-Datos!T10)/Datos!T10),(Datos!J10-Datos!T10)/Datos!T10," - ")</f>
        <v>-0.35294117647058826</v>
      </c>
      <c r="D10" s="455">
        <f>IF(ISNUMBER((Datos!K10-Datos!U10)/Datos!U10),(Datos!K10-Datos!U10)/Datos!U10," - ")</f>
        <v>-0.58064516129032262</v>
      </c>
      <c r="E10" s="455">
        <f>IF(ISNUMBER((Datos!L10-Datos!V10)/Datos!V10),(Datos!L10-Datos!V10)/Datos!V10," - ")</f>
        <v>0.17857142857142858</v>
      </c>
      <c r="F10" s="455">
        <f>IF(ISNUMBER((Datos!M10-Datos!W10)/Datos!W10),(Datos!M10-Datos!W10)/Datos!W10," - ")</f>
        <v>-0.35714285714285715</v>
      </c>
      <c r="G10" s="456">
        <f>IF(ISNUMBER((Datos!N10-Datos!X10)/Datos!X10),(Datos!N10-Datos!X10)/Datos!X10," - ")</f>
        <v>-1</v>
      </c>
      <c r="H10" s="454">
        <f>IF(ISNUMBER(((NºAsuntos!G10/NºAsuntos!E10)-Datos!BD10)/Datos!BD10),((NºAsuntos!G10/NºAsuntos!E10)-Datos!BD10)/Datos!BD10," - ")</f>
        <v>-0.35190615835777123</v>
      </c>
      <c r="I10" s="455">
        <f>IF(ISNUMBER(((NºAsuntos!I10/NºAsuntos!G10)-Datos!BE10)/Datos!BE10),((NºAsuntos!I10/NºAsuntos!G10)-Datos!BE10)/Datos!BE10," - ")</f>
        <v>1.8104395604395607</v>
      </c>
      <c r="J10" s="460">
        <f>IF(ISNUMBER((('Resol  Asuntos'!D10/NºAsuntos!G10)-Datos!BF10)/Datos!BF10),(('Resol  Asuntos'!D10/NºAsuntos!G10)-Datos!BF10)/Datos!BF10," - ")</f>
        <v>0.53296703296703296</v>
      </c>
      <c r="K10" s="461">
        <f>IF(ISNUMBER((((NºAsuntos!C10+NºAsuntos!E10)/NºAsuntos!G10)-Datos!BG10)/Datos!BG10),(((NºAsuntos!C10+NºAsuntos!E10)/NºAsuntos!G10)-Datos!BG10)/Datos!BG10," - ")</f>
        <v>1.3224080267558529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3.3752939549038595E-2</v>
      </c>
      <c r="C12" s="455">
        <f>IF(ISNUMBER(
   IF(J_V="SI",(Datos!J12-Datos!T12)/Datos!T12,(Datos!J12+Datos!Z12-(Datos!T12+Datos!AH12))/(Datos!T12+Datos!AH12))
     ),IF(J_V="SI",(Datos!J12-Datos!T12)/Datos!T12,(Datos!J12+Datos!Z12-(Datos!T12+Datos!AH12))/(Datos!T12+Datos!AH12))," - ")</f>
        <v>-0.39772357723577234</v>
      </c>
      <c r="D12" s="455">
        <f>IF(ISNUMBER(
   IF(J_V="SI",(Datos!K12-Datos!U12)/Datos!U12,(Datos!K12+Datos!AA12-(Datos!U12+Datos!AI12))/(Datos!U12+Datos!AI12))
     ),IF(J_V="SI",(Datos!K12-Datos!U12)/Datos!U12,(Datos!K12+Datos!AA12-(Datos!U12+Datos!AI12))/(Datos!U12+Datos!AI12))," - ")</f>
        <v>-0.28445349626612354</v>
      </c>
      <c r="E12" s="455">
        <f>IF(ISNUMBER(
   IF(J_V="SI",(Datos!L12-Datos!V12)/Datos!V12,(Datos!L12+Datos!AB12-(Datos!V12+Datos!AJ12))/(Datos!V12+Datos!AJ12))
     ),IF(J_V="SI",(Datos!L12-Datos!V12)/Datos!V12,(Datos!L12+Datos!AB12-(Datos!V12+Datos!AJ12))/(Datos!V12+Datos!AJ12))," - ")</f>
        <v>-4.8886474741988047E-2</v>
      </c>
      <c r="F12" s="455">
        <f>IF(ISNUMBER((Datos!M12-Datos!W12)/Datos!W12),(Datos!M12-Datos!W12)/Datos!W12," - ")</f>
        <v>-0.15992647058823528</v>
      </c>
      <c r="G12" s="456">
        <f>IF(ISNUMBER((Datos!N12-Datos!X12)/Datos!X12),(Datos!N12-Datos!X12)/Datos!X12," - ")</f>
        <v>-0.1653061224489796</v>
      </c>
      <c r="H12" s="454">
        <f>IF(ISNUMBER(((NºAsuntos!G12/NºAsuntos!E12)-Datos!BD12)/Datos!BD12),((NºAsuntos!G12/NºAsuntos!E12)-Datos!BD12)/Datos!BD12," - ")</f>
        <v>0.18806992385619331</v>
      </c>
      <c r="I12" s="455">
        <f>IF(ISNUMBER(((NºAsuntos!I12/NºAsuntos!G12)-Datos!BE12)/Datos!BE12),((NºAsuntos!I12/NºAsuntos!G12)-Datos!BE12)/Datos!BE12," - ")</f>
        <v>0.3292127350142805</v>
      </c>
      <c r="J12" s="460">
        <f>IF(ISNUMBER((('Resol  Asuntos'!D12/NºAsuntos!G12)-Datos!BF12)/Datos!BF12),(('Resol  Asuntos'!D12/NºAsuntos!G12)-Datos!BF12)/Datos!BF12," - ")</f>
        <v>-0.56552879216202612</v>
      </c>
      <c r="K12" s="461">
        <f>IF(ISNUMBER((((NºAsuntos!C12+NºAsuntos!E12)/NºAsuntos!G12)-Datos!BG12)/Datos!BG12),(((NºAsuntos!C12+NºAsuntos!E12)/NºAsuntos!G12)-Datos!BG12)/Datos!BG12," - ")</f>
        <v>0.2647512765625184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3.4610123119015047E-2</v>
      </c>
      <c r="C13" s="854">
        <f>IF(ISNUMBER(
   IF(J_V="SI",(Datos!J13-Datos!T13)/Datos!T13,(Datos!J13+Datos!Z13-(Datos!T13+Datos!AH13))/(Datos!T13+Datos!AH13))
     ),IF(J_V="SI",(Datos!J13-Datos!T13)/Datos!T13,(Datos!J13+Datos!Z13-(Datos!T13+Datos!AH13))/(Datos!T13+Datos!AH13))," - ")</f>
        <v>-0.39723383724670314</v>
      </c>
      <c r="D13" s="854">
        <f>IF(ISNUMBER(
   IF(J_V="SI",(Datos!K13-Datos!U13)/Datos!U13,(Datos!K13+Datos!AA13-(Datos!U13+Datos!AI13))/(Datos!U13+Datos!AI13))
     ),IF(J_V="SI",(Datos!K13-Datos!U13)/Datos!U13,(Datos!K13+Datos!AA13-(Datos!U13+Datos!AI13))/(Datos!U13+Datos!AI13))," - ")</f>
        <v>-0.28753778972119581</v>
      </c>
      <c r="E13" s="854">
        <f>IF(ISNUMBER(
   IF(J_V="SI",(Datos!L13-Datos!V13)/Datos!V13,(Datos!L13+Datos!AB13-(Datos!V13+Datos!AJ13))/(Datos!V13+Datos!AJ13))
     ),IF(J_V="SI",(Datos!L13-Datos!V13)/Datos!V13,(Datos!L13+Datos!AB13-(Datos!V13+Datos!AJ13))/(Datos!V13+Datos!AJ13))," - ")</f>
        <v>-4.6321160042964556E-2</v>
      </c>
      <c r="F13" s="855">
        <f>IF(ISNUMBER((Datos!M13-Datos!W13)/Datos!W13),(Datos!M13-Datos!W13)/Datos!W13," - ")</f>
        <v>-0.16487455197132617</v>
      </c>
      <c r="G13" s="856">
        <f>IF(ISNUMBER((Datos!N13-Datos!X13)/Datos!X13),(Datos!N13-Datos!X13)/Datos!X13," - ")</f>
        <v>-0.17540322580645162</v>
      </c>
      <c r="H13" s="856">
        <f>IF(ISNUMBER(((NºAsuntos!G13/NºAsuntos!E13)-Datos!BD13)/Datos!BD13),((NºAsuntos!G13/NºAsuntos!E13)-Datos!BD13)/Datos!BD13," - ")</f>
        <v>0.18198773306126051</v>
      </c>
      <c r="I13" s="856">
        <f>IF(ISNUMBER(((NºAsuntos!I13/NºAsuntos!G13)-Datos!BE13)/Datos!BE13),((NºAsuntos!I13/NºAsuntos!G13)-Datos!BE13)/Datos!BE13," - ")</f>
        <v>0.3385676127072581</v>
      </c>
      <c r="J13" s="856">
        <f>IF(ISNUMBER((('Resol  Asuntos'!D13/NºAsuntos!G13)-Datos!BF13)/Datos!BF13),(('Resol  Asuntos'!D13/NºAsuntos!G13)-Datos!BF13)/Datos!BF13," - ")</f>
        <v>-0.5592521708851671</v>
      </c>
      <c r="K13" s="856">
        <f>IF(ISNUMBER((((NºAsuntos!C13+NºAsuntos!E13)/NºAsuntos!G13)-Datos!BG13)/Datos!BG13),(((NºAsuntos!C13+NºAsuntos!E13)/NºAsuntos!G13)-Datos!BG13)/Datos!BG13," - ")</f>
        <v>0.27129425130411527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0.11168727562824092</v>
      </c>
      <c r="C16" s="455">
        <f>IF(ISNUMBER(
   IF(D_I="SI",(Datos!J16-Datos!T16)/Datos!T16,(Datos!J16+Datos!AD16-(Datos!T16+Datos!AL16))/(Datos!T16+Datos!AL16))
     ),IF(D_I="SI",(Datos!J16-Datos!T16)/Datos!T16,(Datos!J16+Datos!AD16-(Datos!T16+Datos!AL16))/(Datos!T16+Datos!AL16))," - ")</f>
        <v>0.11979881115683585</v>
      </c>
      <c r="D16" s="455">
        <f>IF(ISNUMBER(
   IF(D_I="SI",(Datos!K16-Datos!U16)/Datos!U16,(Datos!K16+Datos!AE16-(Datos!U16+Datos!AM16))/(Datos!U16+Datos!AM16))
     ),IF(D_I="SI",(Datos!K16-Datos!U16)/Datos!U16,(Datos!K16+Datos!AE16-(Datos!U16+Datos!AM16))/(Datos!U16+Datos!AM16))," - ")</f>
        <v>1.0960105217010083E-2</v>
      </c>
      <c r="E16" s="455">
        <f>IF(ISNUMBER(
   IF(D_I="SI",(Datos!L16-Datos!V16)/Datos!V16,(Datos!L16+Datos!AF16-(Datos!V16+Datos!AN16))/(Datos!V16+Datos!AN16))
     ),IF(D_I="SI",(Datos!L16-Datos!V16)/Datos!V16,(Datos!L16+Datos!AF16-(Datos!V16+Datos!AN16))/(Datos!V16+Datos!AN16))," - ")</f>
        <v>0.1636435331230284</v>
      </c>
      <c r="F16" s="455">
        <f>IF(ISNUMBER((Datos!M16-Datos!W16)/Datos!W16),(Datos!M16-Datos!W16)/Datos!W16," - ")</f>
        <v>-0.21965317919075145</v>
      </c>
      <c r="G16" s="456">
        <f>IF(ISNUMBER((Datos!N16-Datos!X16)/Datos!X16),(Datos!N16-Datos!X16)/Datos!X16," - ")</f>
        <v>3.2514450867052021E-2</v>
      </c>
      <c r="H16" s="454">
        <f>IF(ISNUMBER(((NºAsuntos!G16/NºAsuntos!E16)-Datos!BD16)/Datos!BD16),((NºAsuntos!G16/NºAsuntos!E16)-Datos!BD16)/Datos!BD16," - ")</f>
        <v>-9.7194875414617729E-2</v>
      </c>
      <c r="I16" s="455">
        <f>IF(ISNUMBER(((NºAsuntos!I16/NºAsuntos!G16)-Datos!BE16)/Datos!BE16),((NºAsuntos!I16/NºAsuntos!G16)-Datos!BE16)/Datos!BE16," - ")</f>
        <v>0.15102814356185065</v>
      </c>
      <c r="J16" s="460">
        <f>IF(ISNUMBER((('Resol  Asuntos'!D16/NºAsuntos!G16)-Datos!BF16)/Datos!BF16),(('Resol  Asuntos'!D16/NºAsuntos!G16)-Datos!BF16)/Datos!BF16," - ")</f>
        <v>-0.22811314038772937</v>
      </c>
      <c r="K16" s="461">
        <f>IF(ISNUMBER((((NºAsuntos!C16+NºAsuntos!E16)/NºAsuntos!G16)-Datos!BG16)/Datos!BG16),(((NºAsuntos!C16+NºAsuntos!E16)/NºAsuntos!G16)-Datos!BG16)/Datos!BG16," - ")</f>
        <v>0.10337346378965068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5.1428571428571428E-2</v>
      </c>
      <c r="C17" s="455">
        <f>IF(ISNUMBER(
   IF(D_I="SI",(Datos!J17-Datos!T17)/Datos!T17,(Datos!J17+Datos!AD17-(Datos!T17+Datos!AL17))/(Datos!T17+Datos!AL17))
     ),IF(D_I="SI",(Datos!J17-Datos!T17)/Datos!T17,(Datos!J17+Datos!AD17-(Datos!T17+Datos!AL17))/(Datos!T17+Datos!AL17))," - ")</f>
        <v>-0.12857142857142856</v>
      </c>
      <c r="D17" s="455">
        <f>IF(ISNUMBER(
   IF(D_I="SI",(Datos!K17-Datos!U17)/Datos!U17,(Datos!K17+Datos!AE17-(Datos!U17+Datos!AM17))/(Datos!U17+Datos!AM17))
     ),IF(D_I="SI",(Datos!K17-Datos!U17)/Datos!U17,(Datos!K17+Datos!AE17-(Datos!U17+Datos!AM17))/(Datos!U17+Datos!AM17))," - ")</f>
        <v>8.2706766917293228E-2</v>
      </c>
      <c r="E17" s="455">
        <f>IF(ISNUMBER(
   IF(D_I="SI",(Datos!L17-Datos!V17)/Datos!V17,(Datos!L17+Datos!AF17-(Datos!V17+Datos!AN17))/(Datos!V17+Datos!AN17))
     ),IF(D_I="SI",(Datos!L17-Datos!V17)/Datos!V17,(Datos!L17+Datos!AF17-(Datos!V17+Datos!AN17))/(Datos!V17+Datos!AN17))," - ")</f>
        <v>-0.10989010989010989</v>
      </c>
      <c r="F17" s="455">
        <f>IF(ISNUMBER((Datos!M17-Datos!W17)/Datos!W17),(Datos!M17-Datos!W17)/Datos!W17," - ")</f>
        <v>0.33333333333333331</v>
      </c>
      <c r="G17" s="456">
        <f>IF(ISNUMBER((Datos!N17-Datos!X17)/Datos!X17),(Datos!N17-Datos!X17)/Datos!X17," - ")</f>
        <v>0.14117647058823529</v>
      </c>
      <c r="H17" s="454">
        <f>IF(ISNUMBER(((NºAsuntos!G17/NºAsuntos!E17)-Datos!BD17)/Datos!BD17),((NºAsuntos!G17/NºAsuntos!E17)-Datos!BD17)/Datos!BD17," - ")</f>
        <v>0.24245038826574636</v>
      </c>
      <c r="I17" s="455">
        <f>IF(ISNUMBER(((NºAsuntos!I17/NºAsuntos!G17)-Datos!BE17)/Datos!BE17),((NºAsuntos!I17/NºAsuntos!G17)-Datos!BE17)/Datos!BE17," - ")</f>
        <v>-0.17788461538461542</v>
      </c>
      <c r="J17" s="460">
        <f>IF(ISNUMBER((('Resol  Asuntos'!D17/NºAsuntos!G17)-Datos!BF17)/Datos!BF17),(('Resol  Asuntos'!D17/NºAsuntos!G17)-Datos!BF17)/Datos!BF17," - ")</f>
        <v>0.23148148148148148</v>
      </c>
      <c r="K17" s="461">
        <f>IF(ISNUMBER((((NºAsuntos!C17+NºAsuntos!E17)/NºAsuntos!G17)-Datos!BG17)/Datos!BG17),(((NºAsuntos!C17+NºAsuntos!E17)/NºAsuntos!G17)-Datos!BG17)/Datos!BG17," - ")</f>
        <v>-0.1027777777777777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0.10775540641312453</v>
      </c>
      <c r="C18" s="854">
        <f>IF(ISNUMBER(
   IF(Criterios!B14="SI",(Datos!J18-Datos!T18)/Datos!T18,(Datos!J18+Datos!AD18-(Datos!T18+Datos!AL18))/(Datos!T18+Datos!AL18))
     ),IF(Criterios!B14="SI",(Datos!J18-Datos!T18)/Datos!T18,(Datos!J18+Datos!AD18-(Datos!T18+Datos!AL18))/(Datos!T18+Datos!AL18))," - ")</f>
        <v>0.10485603781693167</v>
      </c>
      <c r="D18" s="854">
        <f>IF(ISNUMBER(
   IF(Criterios!B14="SI",(Datos!K18-Datos!U18)/Datos!U18,(Datos!K18+Datos!AE18-(Datos!U18+Datos!AM18))/(Datos!U18+Datos!AM18))
     ),IF(Criterios!B14="SI",(Datos!K18-Datos!U18)/Datos!U18,(Datos!K18+Datos!AE18-(Datos!U18+Datos!AM18))/(Datos!U18+Datos!AM18))," - ")</f>
        <v>1.4913007456503728E-2</v>
      </c>
      <c r="E18" s="854">
        <f>IF(ISNUMBER(
   IF(Criterios!B14="SI",(Datos!L18-Datos!V18)/Datos!V18,(Datos!L18+Datos!AF18-(Datos!V18+Datos!AN18))/(Datos!V18+Datos!AN18))
     ),IF(Criterios!B14="SI",(Datos!L18-Datos!V18)/Datos!V18,(Datos!L18+Datos!AF18-(Datos!V18+Datos!AN18))/(Datos!V18+Datos!AN18))," - ")</f>
        <v>0.14532744665194997</v>
      </c>
      <c r="F18" s="855">
        <f>IF(ISNUMBER((Datos!M18-Datos!W18)/Datos!W18),(Datos!M18-Datos!W18)/Datos!W18," - ")</f>
        <v>-0.20563380281690141</v>
      </c>
      <c r="G18" s="856">
        <f>IF(ISNUMBER((Datos!N18-Datos!X18)/Datos!X18),(Datos!N18-Datos!X18)/Datos!X18," - ")</f>
        <v>3.880190605854323E-2</v>
      </c>
      <c r="H18" s="856">
        <f>IF(ISNUMBER(((NºAsuntos!G18/NºAsuntos!E18)-Datos!BD18)/Datos!BD18),((NºAsuntos!G18/NºAsuntos!E18)-Datos!BD18)/Datos!BD18," - ")</f>
        <v>-8.1407013476746795E-2</v>
      </c>
      <c r="I18" s="856">
        <f>IF(ISNUMBER(((NºAsuntos!I18/NºAsuntos!G18)-Datos!BE18)/Datos!BE18),((NºAsuntos!I18/NºAsuntos!G18)-Datos!BE18)/Datos!BE18," - ")</f>
        <v>0.12849814539502333</v>
      </c>
      <c r="J18" s="856">
        <f>IF(ISNUMBER((('Resol  Asuntos'!D18/NºAsuntos!G18)-Datos!BF18)/Datos!BF18),(('Resol  Asuntos'!D18/NºAsuntos!G18)-Datos!BF18)/Datos!BF18," - ")</f>
        <v>-0.21730612244897957</v>
      </c>
      <c r="K18" s="856">
        <f>IF(ISNUMBER((((NºAsuntos!C18+NºAsuntos!E18)/NºAsuntos!G18)-Datos!BG18)/Datos!BG18),(((NºAsuntos!C18+NºAsuntos!E18)/NºAsuntos!G18)-Datos!BG18)/Datos!BG18," - ")</f>
        <v>9.0151034260779694E-2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5.4243394715772615E-2</v>
      </c>
      <c r="C19" s="801">
        <f>IF(ISNUMBER(
   IF(J_V="SI",(Datos!J19-Datos!T19)/Datos!T19,(Datos!J19+Datos!Z19-(Datos!T19+Datos!AH19))/(Datos!T19+Datos!AH19))
     ),IF(J_V="SI",(Datos!J19-Datos!T19)/Datos!T19,(Datos!J19+Datos!Z19-(Datos!T19+Datos!AH19))/(Datos!T19+Datos!AH19))," - ")</f>
        <v>-0.18230316409124356</v>
      </c>
      <c r="D19" s="801">
        <f>IF(ISNUMBER(
   IF(J_V="SI",(Datos!K19-Datos!U19)/Datos!U19,(Datos!K19+Datos!AA19-(Datos!U19+Datos!AI19))/(Datos!U19+Datos!AI19))
     ),IF(J_V="SI",(Datos!K19-Datos!U19)/Datos!U19,(Datos!K19+Datos!AA19-(Datos!U19+Datos!AI19))/(Datos!U19+Datos!AI19))," - ")</f>
        <v>-0.152105360786496</v>
      </c>
      <c r="E19" s="801">
        <f>IF(ISNUMBER(
   IF(J_V="SI",(Datos!L19-Datos!V19)/Datos!V19,(Datos!L19+Datos!AB19-(Datos!V19+Datos!AJ19))/(Datos!V19+Datos!AJ19))
     ),IF(J_V="SI",(Datos!L19-Datos!V19)/Datos!V19,(Datos!L19+Datos!AB19-(Datos!V19+Datos!AJ19))/(Datos!V19+Datos!AJ19))," - ")</f>
        <v>4.9183553019870154E-3</v>
      </c>
      <c r="F19" s="802">
        <f>IF(ISNUMBER((Datos!M19-Datos!W19)/Datos!W19),(Datos!M19-Datos!W19)/Datos!W19," - ")</f>
        <v>-0.18072289156626506</v>
      </c>
      <c r="G19" s="803">
        <f>IF(ISNUMBER((Datos!N19-Datos!X19)/Datos!X19),(Datos!N19-Datos!X19)/Datos!X19," - ")</f>
        <v>-6.8988840040581673E-2</v>
      </c>
      <c r="H19" s="804">
        <f>IF(ISNUMBER((Tasas!B19-Datos!BD19)/Datos!BD19),(Tasas!B19-Datos!BD19)/Datos!BD19," - ")</f>
        <v>3.6930316932420243E-2</v>
      </c>
      <c r="I19" s="805">
        <f>IF(ISNUMBER((Tasas!C19-Datos!BE19)/Datos!BE19),(Tasas!C19-Datos!BE19)/Datos!BE19," - ")</f>
        <v>0.18519248598403237</v>
      </c>
      <c r="J19" s="806">
        <f>IF(ISNUMBER((Tasas!D19-Datos!BF19)/Datos!BF19),(Tasas!D19-Datos!BF19)/Datos!BF19," - ")</f>
        <v>-0.52029087555669595</v>
      </c>
      <c r="K19" s="806">
        <f>IF(ISNUMBER((Tasas!E19-Datos!BG19)/Datos!BG19),(Tasas!E19-Datos!BG19)/Datos!BG19," - ")</f>
        <v>0.14506806077044315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j38HOa5lY6eLosgTADFw94e5sA+xbAwfGDNTirIsqUy7TDwoIBcjORNHn5lv6ix5MUp7/JtKPvQtUOomghZyw==" saltValue="qNAc4HIjLpkraAyqn44W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NAVALCARNERO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0.59090909090909094</v>
      </c>
      <c r="C10" s="442">
        <f>IF(ISNUMBER(NºAsuntos!I10/NºAsuntos!G10),NºAsuntos!I10/NºAsuntos!G10," - ")</f>
        <v>7.615384615384615</v>
      </c>
      <c r="D10" s="443">
        <f>IF(ISNUMBER('Resol  Asuntos'!D10/NºAsuntos!G10),'Resol  Asuntos'!D10/NºAsuntos!G10," - ")</f>
        <v>0.69230769230769229</v>
      </c>
      <c r="E10" s="444">
        <f>IF(ISNUMBER((NºAsuntos!C10+NºAsuntos!E10)/NºAsuntos!G10),(NºAsuntos!C10+NºAsuntos!E10)/NºAsuntos!G10," - ")</f>
        <v>8.615384615384615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1.1382289416846652</v>
      </c>
      <c r="C12" s="442">
        <f>IF(ISNUMBER(NºAsuntos!I12/NºAsuntos!G12),NºAsuntos!I12/NºAsuntos!G12," - ")</f>
        <v>3.3225806451612905</v>
      </c>
      <c r="D12" s="443">
        <f>IF(ISNUMBER('Resol  Asuntos'!D12/NºAsuntos!G12),'Resol  Asuntos'!D12/NºAsuntos!G12," - ")</f>
        <v>0.21679316888045541</v>
      </c>
      <c r="E12" s="444">
        <f>IF(ISNUMBER((NºAsuntos!C12+NºAsuntos!E12)/NºAsuntos!G12),(NºAsuntos!C12+NºAsuntos!E12)/NºAsuntos!G12," - ")</f>
        <v>4.4236242884250476</v>
      </c>
      <c r="G12" s="462"/>
    </row>
    <row r="13" spans="1:7" ht="14.25" thickTop="1" thickBot="1">
      <c r="A13" s="847" t="str">
        <f>Datos!A13</f>
        <v>TOTAL</v>
      </c>
      <c r="B13" s="857">
        <f>IF(ISNUMBER(NºAsuntos!G13/NºAsuntos!E13),NºAsuntos!G13/NºAsuntos!E13," - ")</f>
        <v>1.1318036286019211</v>
      </c>
      <c r="C13" s="858">
        <f>IF(ISNUMBER(NºAsuntos!I13/NºAsuntos!G13),NºAsuntos!I13/NºAsuntos!G13," - ")</f>
        <v>3.3488920320603488</v>
      </c>
      <c r="D13" s="859">
        <f>IF(ISNUMBER('Resol  Asuntos'!D13/NºAsuntos!G13),'Resol  Asuntos'!D13/NºAsuntos!G13," - ")</f>
        <v>0.2197076850542197</v>
      </c>
      <c r="E13" s="860">
        <f>IF(ISNUMBER((NºAsuntos!C13+NºAsuntos!E13)/NºAsuntos!G13),(NºAsuntos!C13+NºAsuntos!E13)/NºAsuntos!G13," - ")</f>
        <v>4.4493163602074493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0.94160881992650058</v>
      </c>
      <c r="C16" s="442">
        <f>IF(ISNUMBER(NºAsuntos!I16/NºAsuntos!G16),NºAsuntos!I16/NºAsuntos!G16," - ")</f>
        <v>1.2797051170858629</v>
      </c>
      <c r="D16" s="443">
        <f>IF(ISNUMBER('Resol  Asuntos'!D16/NºAsuntos!G16),'Resol  Asuntos'!D16/NºAsuntos!G16," - ")</f>
        <v>0.11708586296617519</v>
      </c>
      <c r="E16" s="444">
        <f>IF(ISNUMBER((NºAsuntos!C16+NºAsuntos!E16)/NºAsuntos!G16),(NºAsuntos!C16+NºAsuntos!E16)/NºAsuntos!G16," - ")</f>
        <v>2.2705984388551603</v>
      </c>
      <c r="G16" s="462"/>
    </row>
    <row r="17" spans="1:7" ht="21.75" thickBot="1">
      <c r="A17" s="401" t="str">
        <f>Datos!A17</f>
        <v>Jdos. Violencia contra la mujer/Secc Viol. TI.</v>
      </c>
      <c r="B17" s="441">
        <f>IF(ISNUMBER(NºAsuntos!G17/NºAsuntos!E17),NºAsuntos!G17/NºAsuntos!E17," - ")</f>
        <v>1.180327868852459</v>
      </c>
      <c r="C17" s="442">
        <f>IF(ISNUMBER(NºAsuntos!I17/NºAsuntos!G17),NºAsuntos!I17/NºAsuntos!G17," - ")</f>
        <v>1.125</v>
      </c>
      <c r="D17" s="443">
        <f>IF(ISNUMBER('Resol  Asuntos'!D17/NºAsuntos!G17),'Resol  Asuntos'!D17/NºAsuntos!G17," - ")</f>
        <v>8.3333333333333329E-2</v>
      </c>
      <c r="E17" s="444">
        <f>IF(ISNUMBER((NºAsuntos!C17+NºAsuntos!E17)/NºAsuntos!G17),(NºAsuntos!C17+NºAsuntos!E17)/NºAsuntos!G17," - ")</f>
        <v>2.125</v>
      </c>
      <c r="G17" s="462"/>
    </row>
    <row r="18" spans="1:7" ht="14.25" thickTop="1" thickBot="1">
      <c r="A18" s="847" t="str">
        <f>Datos!A18</f>
        <v>TOTAL</v>
      </c>
      <c r="B18" s="857">
        <f>IF(ISNUMBER(NºAsuntos!G18/NºAsuntos!E18),NºAsuntos!G18/NºAsuntos!E18," - ")</f>
        <v>0.95293660054453522</v>
      </c>
      <c r="C18" s="858">
        <f>IF(ISNUMBER(NºAsuntos!I18/NºAsuntos!G18),NºAsuntos!I18/NºAsuntos!G18," - ")</f>
        <v>1.2706122448979591</v>
      </c>
      <c r="D18" s="861">
        <f>IF(ISNUMBER('Resol  Asuntos'!D18/NºAsuntos!G18),'Resol  Asuntos'!D18/NºAsuntos!G18," - ")</f>
        <v>0.11510204081632654</v>
      </c>
      <c r="E18" s="860">
        <f>IF(ISNUMBER((NºAsuntos!C18+NºAsuntos!E18)/NºAsuntos!G18),(NºAsuntos!C18+NºAsuntos!E18)/NºAsuntos!G18," - ")</f>
        <v>2.2620408163265306</v>
      </c>
      <c r="G18" s="462"/>
    </row>
    <row r="19" spans="1:7" ht="15.75" customHeight="1" thickTop="1" thickBot="1">
      <c r="A19" s="792" t="str">
        <f>Datos!A19</f>
        <v>TOTAL JURISDICCIONES</v>
      </c>
      <c r="B19" s="807">
        <f>IF(ISNUMBER(NºAsuntos!G19/NºAsuntos!E19),NºAsuntos!G19/NºAsuntos!E19," - ")</f>
        <v>1.0283464566929135</v>
      </c>
      <c r="C19" s="808">
        <f>IF(ISNUMBER(NºAsuntos!I19/NºAsuntos!G19),NºAsuntos!I19/NºAsuntos!G19," - ")</f>
        <v>2.234959527455699</v>
      </c>
      <c r="D19" s="809">
        <f>IF(ISNUMBER('Resol  Asuntos'!D19/NºAsuntos!G19),'Resol  Asuntos'!D19/NºAsuntos!G19," - ")</f>
        <v>0.1636403412819952</v>
      </c>
      <c r="E19" s="810">
        <f>IF(ISNUMBER((NºAsuntos!C19+NºAsuntos!E19)/NºAsuntos!G19),(NºAsuntos!C19+NºAsuntos!E19)/NºAsuntos!G19," - ")</f>
        <v>3.276963465324874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5Vbizt/pBKiMdEF+l8ApgqsZAHzAZgl4uBZZNSZ2InbhUU6XR9fJVObNCxRJCi2M9Zqx2KH+FiqL93WiNOUOQ==" saltValue="icUl3Ynp1tLnJMUjp5UQ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NAVALCARNERO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90</v>
      </c>
      <c r="G10" s="332">
        <f>IF(ISNUMBER(Datos!I10),Datos!I10," - ")</f>
        <v>90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13</v>
      </c>
      <c r="Y10" s="333">
        <f t="shared" ref="Y10:Y12" si="0">SUM(W10:X10)</f>
        <v>26</v>
      </c>
      <c r="Z10" s="334" t="str">
        <f>IF(ISNUMBER(Datos!CC10),Datos!CC10," - ")</f>
        <v xml:space="preserve"> - </v>
      </c>
      <c r="AA10" s="331">
        <f>IF(ISNUMBER(Datos!L10),Datos!L10,"-")</f>
        <v>99</v>
      </c>
      <c r="AB10" s="333">
        <f>IF(ISNUMBER(Datos!R10),Datos!R10," - ")</f>
        <v>40</v>
      </c>
      <c r="AC10" s="333">
        <f t="shared" ref="AC10:AC12" si="1">IF(ISNUMBER(AA10+AB10),AA10+AB10," - ")</f>
        <v>139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0.59090909090909094</v>
      </c>
      <c r="AM10" s="259">
        <f>IF(ISNUMBER(((NºAsuntos!I10/NºAsuntos!G10)*11)/factor_trimestre),((NºAsuntos!I10/NºAsuntos!G10)*11)/factor_trimestre," - ")</f>
        <v>22.846153846153843</v>
      </c>
      <c r="AN10" s="243">
        <f>IF(ISNUMBER('Resol  Asuntos'!D10/NºAsuntos!G10),'Resol  Asuntos'!D10/NºAsuntos!G10," - ")</f>
        <v>0.69230769230769229</v>
      </c>
      <c r="AO10" s="244">
        <f>IF(ISNUMBER((NºAsuntos!C10+NºAsuntos!E10)/NºAsuntos!G10),(NºAsuntos!C10+NºAsuntos!E10)/NºAsuntos!G10," - ")</f>
        <v>8.615384615384615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384</v>
      </c>
      <c r="Y12" s="333">
        <f t="shared" si="0"/>
        <v>384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457</v>
      </c>
      <c r="AJ12" s="228" t="str">
        <f>IF(ISNUMBER(Datos!BW12),Datos!BW12," - ")</f>
        <v xml:space="preserve"> - </v>
      </c>
      <c r="AK12" s="227" t="str">
        <f>IF(ISNUMBER(Datos!BX12),Datos!BX12," - ")</f>
        <v xml:space="preserve"> - </v>
      </c>
      <c r="AL12" s="242">
        <f>IF(ISNUMBER(NºAsuntos!G12/NºAsuntos!E12),NºAsuntos!G12/NºAsuntos!E12," - ")</f>
        <v>1.1382289416846652</v>
      </c>
      <c r="AM12" s="259">
        <f>IF(ISNUMBER(((NºAsuntos!I12/NºAsuntos!G12)*11)/factor_trimestre),((NºAsuntos!I12/NºAsuntos!G12)*11)/factor_trimestre," - ")</f>
        <v>9.9677419354838701</v>
      </c>
      <c r="AN12" s="243">
        <f>IF(ISNUMBER('Resol  Asuntos'!D12/NºAsuntos!G12),'Resol  Asuntos'!D12/NºAsuntos!G12," - ")</f>
        <v>0.21679316888045541</v>
      </c>
      <c r="AO12" s="244">
        <f>IF(ISNUMBER((NºAsuntos!C12+NºAsuntos!E12)/NºAsuntos!G12),(NºAsuntos!C12+NºAsuntos!E12)/NºAsuntos!G12," - ")</f>
        <v>4.4236242884250476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90</v>
      </c>
      <c r="G13" s="865">
        <f t="shared" si="3"/>
        <v>90</v>
      </c>
      <c r="H13" s="864">
        <f t="shared" si="3"/>
        <v>0</v>
      </c>
      <c r="I13" s="866">
        <f t="shared" si="3"/>
        <v>0</v>
      </c>
      <c r="J13" s="866">
        <f t="shared" si="3"/>
        <v>0</v>
      </c>
      <c r="K13" s="866">
        <f t="shared" si="3"/>
        <v>0</v>
      </c>
      <c r="L13" s="866">
        <f t="shared" si="3"/>
        <v>440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397</v>
      </c>
      <c r="Y13" s="867">
        <f t="shared" si="4"/>
        <v>410</v>
      </c>
      <c r="Z13" s="867">
        <f t="shared" si="4"/>
        <v>0</v>
      </c>
      <c r="AA13" s="867">
        <f t="shared" si="4"/>
        <v>99</v>
      </c>
      <c r="AB13" s="867">
        <f t="shared" si="4"/>
        <v>9082</v>
      </c>
      <c r="AC13" s="867">
        <f t="shared" si="4"/>
        <v>139</v>
      </c>
      <c r="AD13" s="867">
        <f t="shared" si="4"/>
        <v>0</v>
      </c>
      <c r="AE13" s="871">
        <f t="shared" si="4"/>
        <v>0</v>
      </c>
      <c r="AF13" s="864">
        <f t="shared" si="4"/>
        <v>0</v>
      </c>
      <c r="AG13" s="872">
        <f t="shared" si="4"/>
        <v>0</v>
      </c>
      <c r="AH13" s="869">
        <f t="shared" si="4"/>
        <v>0</v>
      </c>
      <c r="AI13" s="864">
        <f t="shared" si="4"/>
        <v>466</v>
      </c>
      <c r="AJ13" s="866">
        <f t="shared" si="4"/>
        <v>0</v>
      </c>
      <c r="AK13" s="869">
        <f>SUBTOTAL(9,AK9:AK12)</f>
        <v>0</v>
      </c>
      <c r="AL13" s="873">
        <f>IF(ISNUMBER(NºAsuntos!G13/NºAsuntos!E13),NºAsuntos!G13/NºAsuntos!E13," - ")</f>
        <v>1.1318036286019211</v>
      </c>
      <c r="AM13" s="873">
        <f>IF(ISNUMBER(((NºAsuntos!I13/NºAsuntos!G13)*11)/factor_trimestre),((NºAsuntos!I13/NºAsuntos!G13)*11)/factor_trimestre," - ")</f>
        <v>10.046676096181047</v>
      </c>
      <c r="AN13" s="874">
        <f>IF(ISNUMBER('Resol  Asuntos'!D13/NºAsuntos!G13),'Resol  Asuntos'!D13/NºAsuntos!G13," - ")</f>
        <v>0.2197076850542197</v>
      </c>
      <c r="AO13" s="875">
        <f>IF(ISNUMBER((NºAsuntos!C13+NºAsuntos!E13)/NºAsuntos!G13),(NºAsuntos!C13+NºAsuntos!E13)/NºAsuntos!G13," - ")</f>
        <v>4.4493163602074493</v>
      </c>
      <c r="AP13" s="876" t="str">
        <f t="shared" si="2"/>
        <v xml:space="preserve"> - </v>
      </c>
      <c r="AQ13" s="876">
        <f>IF(ISNUMBER((H13-W13+K13)/(F13)),(H13-W13+K13)/(F13)," - ")</f>
        <v>-0.14444444444444443</v>
      </c>
      <c r="AR13" s="877">
        <f>IF(ISNUMBER((Datos!P13-Datos!Q13)/(Datos!R13-Datos!P13+Datos!Q13)),(Datos!P13-Datos!Q13)/(Datos!R13-Datos!P13+Datos!Q13)," - ")</f>
        <v>4.7571634030313089E-3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2808</v>
      </c>
      <c r="G16" s="332">
        <f>IF(ISNUMBER(IF(D_I="SI",Datos!I16,Datos!I16+Datos!AC16)),IF(D_I="SI",Datos!I16,Datos!I16+Datos!AC16)," - ")</f>
        <v>2787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2306</v>
      </c>
      <c r="X16" s="225">
        <f>IF(ISNUMBER(Datos!Q16),Datos!Q16," - ")</f>
        <v>153</v>
      </c>
      <c r="Y16" s="333">
        <f t="shared" ref="Y16:Y17" si="7">SUM(W16:X16)</f>
        <v>2459</v>
      </c>
      <c r="Z16" s="334" t="str">
        <f>IF(ISNUMBER(Datos!CC16),Datos!CC16," - ")</f>
        <v xml:space="preserve"> - </v>
      </c>
      <c r="AA16" s="331">
        <f>IF(ISNUMBER(IF(D_I="SI",Datos!L16,Datos!L16+Datos!AF16)),IF(D_I="SI",Datos!L16,Datos!L16+Datos!AF16)," - ")</f>
        <v>2951</v>
      </c>
      <c r="AB16" s="333">
        <f>IF(ISNUMBER(Datos!R16),Datos!R16," - ")</f>
        <v>228</v>
      </c>
      <c r="AC16" s="333">
        <f t="shared" si="6"/>
        <v>3179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270</v>
      </c>
      <c r="AJ16" s="230" t="str">
        <f>IF(ISNUMBER(Datos!BW16),Datos!BW16," - ")</f>
        <v xml:space="preserve"> - </v>
      </c>
      <c r="AK16" s="231" t="str">
        <f>IF(ISNUMBER(Datos!BX16),Datos!BX16," - ")</f>
        <v xml:space="preserve"> - </v>
      </c>
      <c r="AL16" s="242">
        <f>IF(ISNUMBER(NºAsuntos!G16/NºAsuntos!E16),NºAsuntos!G16/NºAsuntos!E16," - ")</f>
        <v>0.94160881992650058</v>
      </c>
      <c r="AM16" s="259">
        <f>IF(ISNUMBER(((NºAsuntos!I16/NºAsuntos!G16)*11)/factor_trimestre),((NºAsuntos!I16/NºAsuntos!G16)*11)/factor_trimestre," - ")</f>
        <v>3.8391153512575884</v>
      </c>
      <c r="AN16" s="243">
        <f>IF(ISNUMBER('Resol  Asuntos'!D16/NºAsuntos!G16),'Resol  Asuntos'!D16/NºAsuntos!G16," - ")</f>
        <v>0.11708586296617519</v>
      </c>
      <c r="AO16" s="244">
        <f>IF(ISNUMBER((NºAsuntos!C16+NºAsuntos!E16)/NºAsuntos!G16),(NºAsuntos!C16+NºAsuntos!E16)/NºAsuntos!G16," - ")</f>
        <v>2.2705984388551603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144</v>
      </c>
      <c r="X17" s="225">
        <f>IF(ISNUMBER(Datos!Q17),Datos!Q17," - ")</f>
        <v>0</v>
      </c>
      <c r="Y17" s="333">
        <f t="shared" si="7"/>
        <v>144</v>
      </c>
      <c r="Z17" s="334" t="str">
        <f>IF(ISNUMBER(Datos!CC17),Datos!CC17," - ")</f>
        <v xml:space="preserve"> - </v>
      </c>
      <c r="AA17" s="331">
        <f>IF(ISNUMBER(Datos!L17),Datos!L17,"-")</f>
        <v>162</v>
      </c>
      <c r="AB17" s="333">
        <f>IF(ISNUMBER(Datos!R17),Datos!R17," - ")</f>
        <v>0</v>
      </c>
      <c r="AC17" s="333">
        <f t="shared" si="6"/>
        <v>162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1.180327868852459</v>
      </c>
      <c r="AM17" s="259">
        <f>IF(ISNUMBER(((NºAsuntos!I17/NºAsuntos!G17)*11)/factor_trimestre),((NºAsuntos!I17/NºAsuntos!G17)*11)/factor_trimestre," - ")</f>
        <v>3.375</v>
      </c>
      <c r="AN17" s="243">
        <f>IF(ISNUMBER('Resol  Asuntos'!D17/NºAsuntos!G17),'Resol  Asuntos'!D17/NºAsuntos!G17," - ")</f>
        <v>8.3333333333333329E-2</v>
      </c>
      <c r="AO17" s="244">
        <f>IF(ISNUMBER((NºAsuntos!C17+NºAsuntos!E17)/NºAsuntos!G17),(NºAsuntos!C17+NºAsuntos!E17)/NºAsuntos!G17," - ")</f>
        <v>2.125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2808</v>
      </c>
      <c r="G18" s="865">
        <f>SUBTOTAL(9,G15:G17)</f>
        <v>2971</v>
      </c>
      <c r="H18" s="864">
        <f t="shared" ref="H18:O18" si="10">SUBTOTAL(9,H14:H17)</f>
        <v>0</v>
      </c>
      <c r="I18" s="866">
        <f t="shared" si="10"/>
        <v>0</v>
      </c>
      <c r="J18" s="866">
        <f t="shared" si="10"/>
        <v>0</v>
      </c>
      <c r="K18" s="866">
        <f t="shared" si="10"/>
        <v>0</v>
      </c>
      <c r="L18" s="866">
        <f t="shared" si="10"/>
        <v>73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2450</v>
      </c>
      <c r="X18" s="866">
        <f t="shared" si="11"/>
        <v>153</v>
      </c>
      <c r="Y18" s="867">
        <f t="shared" si="11"/>
        <v>2603</v>
      </c>
      <c r="Z18" s="867">
        <f t="shared" si="11"/>
        <v>0</v>
      </c>
      <c r="AA18" s="867">
        <f t="shared" si="11"/>
        <v>3113</v>
      </c>
      <c r="AB18" s="867">
        <f t="shared" si="11"/>
        <v>228</v>
      </c>
      <c r="AC18" s="867">
        <f t="shared" si="11"/>
        <v>3341</v>
      </c>
      <c r="AD18" s="867">
        <f t="shared" si="11"/>
        <v>0</v>
      </c>
      <c r="AE18" s="871">
        <f t="shared" si="11"/>
        <v>0</v>
      </c>
      <c r="AF18" s="864">
        <f t="shared" si="11"/>
        <v>0</v>
      </c>
      <c r="AG18" s="872">
        <f t="shared" si="11"/>
        <v>0</v>
      </c>
      <c r="AH18" s="869">
        <f t="shared" si="11"/>
        <v>0</v>
      </c>
      <c r="AI18" s="864">
        <f t="shared" si="11"/>
        <v>282</v>
      </c>
      <c r="AJ18" s="866">
        <f t="shared" si="11"/>
        <v>0</v>
      </c>
      <c r="AK18" s="869">
        <f t="shared" si="11"/>
        <v>0</v>
      </c>
      <c r="AL18" s="873">
        <f>IF(ISNUMBER(NºAsuntos!G18/NºAsuntos!E18),NºAsuntos!G18/NºAsuntos!E18," - ")</f>
        <v>0.95293660054453522</v>
      </c>
      <c r="AM18" s="873">
        <f>IF(ISNUMBER(((NºAsuntos!I18/NºAsuntos!G18)*11)/factor_trimestre),((NºAsuntos!I18/NºAsuntos!G18)*11)/factor_trimestre," - ")</f>
        <v>3.8118367346938773</v>
      </c>
      <c r="AN18" s="874">
        <f>IF(ISNUMBER('Resol  Asuntos'!D18/NºAsuntos!G18),'Resol  Asuntos'!D18/NºAsuntos!G18," - ")</f>
        <v>0.11510204081632654</v>
      </c>
      <c r="AO18" s="875">
        <f>IF(ISNUMBER((NºAsuntos!C18+NºAsuntos!E18)/NºAsuntos!G18),(NºAsuntos!C18+NºAsuntos!E18)/NºAsuntos!G18," - ")</f>
        <v>2.2620408163265306</v>
      </c>
      <c r="AP18" s="876" t="str">
        <f t="shared" si="2"/>
        <v xml:space="preserve"> - </v>
      </c>
      <c r="AQ18" s="876">
        <f>IF(ISNUMBER((H18-W18+K18)/(F18)),(H18-W18+K18)/(F18)," - ")</f>
        <v>-0.87250712250712248</v>
      </c>
      <c r="AR18" s="877">
        <f>IF(ISNUMBER((Datos!P18-Datos!Q18)/(Datos!R18-Datos!P18+Datos!Q18)),(Datos!P18-Datos!Q18)/(Datos!R18-Datos!P18+Datos!Q18)," - ")</f>
        <v>-0.25974025974025972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2898</v>
      </c>
      <c r="G19" s="820">
        <f t="shared" si="13"/>
        <v>3061</v>
      </c>
      <c r="H19" s="819">
        <f t="shared" si="13"/>
        <v>0</v>
      </c>
      <c r="I19" s="821">
        <f t="shared" si="13"/>
        <v>0</v>
      </c>
      <c r="J19" s="821">
        <f t="shared" si="13"/>
        <v>0</v>
      </c>
      <c r="K19" s="880">
        <f t="shared" si="13"/>
        <v>0</v>
      </c>
      <c r="L19" s="821">
        <f t="shared" si="13"/>
        <v>513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2463</v>
      </c>
      <c r="X19" s="820">
        <f t="shared" si="14"/>
        <v>550</v>
      </c>
      <c r="Y19" s="827">
        <f t="shared" si="14"/>
        <v>3013</v>
      </c>
      <c r="Z19" s="827">
        <f t="shared" si="14"/>
        <v>0</v>
      </c>
      <c r="AA19" s="827">
        <f t="shared" si="14"/>
        <v>3212</v>
      </c>
      <c r="AB19" s="827">
        <f t="shared" si="14"/>
        <v>9310</v>
      </c>
      <c r="AC19" s="827">
        <f t="shared" si="14"/>
        <v>3480</v>
      </c>
      <c r="AD19" s="827">
        <f t="shared" si="14"/>
        <v>0</v>
      </c>
      <c r="AE19" s="829">
        <f t="shared" si="14"/>
        <v>0</v>
      </c>
      <c r="AF19" s="830">
        <f t="shared" si="14"/>
        <v>0</v>
      </c>
      <c r="AG19" s="831">
        <f t="shared" si="14"/>
        <v>0</v>
      </c>
      <c r="AH19" s="829">
        <f t="shared" si="14"/>
        <v>0</v>
      </c>
      <c r="AI19" s="819">
        <f t="shared" si="14"/>
        <v>748</v>
      </c>
      <c r="AJ19" s="819">
        <f t="shared" si="14"/>
        <v>0</v>
      </c>
      <c r="AK19" s="829">
        <f t="shared" si="14"/>
        <v>0</v>
      </c>
      <c r="AL19" s="883">
        <f>IF(ISNUMBER(NºAsuntos!G19/NºAsuntos!E19),NºAsuntos!G19/NºAsuntos!E19," - ")</f>
        <v>1.0283464566929135</v>
      </c>
      <c r="AM19" s="884">
        <f>IF(ISNUMBER(((NºAsuntos!I19/NºAsuntos!G19)*11)/factor_trimestre),((NºAsuntos!I19/NºAsuntos!G19)*11)/factor_trimestre," - ")</f>
        <v>6.7048785823670976</v>
      </c>
      <c r="AN19" s="884">
        <f>IF(ISNUMBER('Resol  Asuntos'!D19/NºAsuntos!G19),'Resol  Asuntos'!D19/NºAsuntos!G19," - ")</f>
        <v>0.1636403412819952</v>
      </c>
      <c r="AO19" s="885">
        <f>IF(ISNUMBER((NºAsuntos!C19+NºAsuntos!E19)/NºAsuntos!G19),(NºAsuntos!C19+NºAsuntos!E19)/NºAsuntos!G19," - ")</f>
        <v>3.276963465324874</v>
      </c>
      <c r="AP19" s="886" t="str">
        <f t="shared" si="2"/>
        <v xml:space="preserve"> - </v>
      </c>
      <c r="AQ19" s="887">
        <f>IF(OR(ISNUMBER(FIND("01",Criterios!A8,1)),ISNUMBER(FIND("02",Criterios!A8,1)),ISNUMBER(FIND("03",Criterios!A8,1)),ISNUMBER(FIND("04",Criterios!A8,1))),(I19-W19+K19)/(F19-K19),(H19-W19+K19)/(F19-K19))</f>
        <v>-0.84989648033126297</v>
      </c>
      <c r="AR19" s="888">
        <f>IF(ISNUMBER((Datos!P19-Datos!Q19)/(Datos!R19-Datos!P19+Datos!Q19)),(Datos!P19-Datos!Q19)/(Datos!R19-Datos!P19+Datos!Q19)," - ")</f>
        <v>-3.958489354873221E-3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1224.4000000000001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1569.2380316574029</v>
      </c>
      <c r="G21" s="252">
        <f>IF(ISNUMBER(STDEV(G8:G18)),STDEV(G8:G18),"-")</f>
        <v>1512.3234773023923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1273.5889054165004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202.80598281773311</v>
      </c>
      <c r="AJ21" s="251">
        <f t="shared" si="18"/>
        <v>0</v>
      </c>
      <c r="AK21" s="253">
        <f t="shared" si="18"/>
        <v>0</v>
      </c>
      <c r="AL21" s="248">
        <f t="shared" si="18"/>
        <v>0.21967741003577435</v>
      </c>
      <c r="AM21" s="249">
        <f t="shared" si="18"/>
        <v>7.4691134537552131</v>
      </c>
      <c r="AN21" s="249">
        <f t="shared" si="18"/>
        <v>0.22837744582539338</v>
      </c>
      <c r="AO21" s="250">
        <f t="shared" si="18"/>
        <v>2.4982603475572227</v>
      </c>
      <c r="AP21" s="290" t="str">
        <f t="shared" si="18"/>
        <v>-</v>
      </c>
      <c r="AQ21" s="291">
        <f t="shared" si="18"/>
        <v>0.51481805678695791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Czkb3gTQ8TzPRhF+91eIlxyXN45SfMIZtMydJIf91Cw2n4ZUtlwsBnDpWV8bfp6pyoSC8h6HiQtWUSHNDS6FIA==" saltValue="GgQfPDVTvxQrNF85n65E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NAVALCARNERO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0.1111111111111111</v>
      </c>
      <c r="E10" s="347">
        <f>IF(ISNUMBER((Datos!J10-Datos!T10)/Datos!T10),(Datos!J10-Datos!T10)/Datos!T10," - ")</f>
        <v>-0.35294117647058826</v>
      </c>
      <c r="F10" s="347">
        <f>IF(ISNUMBER((Datos!K10-Datos!U10)/Datos!U10),(Datos!K10-Datos!U10)/Datos!U10," - ")</f>
        <v>-0.58064516129032262</v>
      </c>
      <c r="G10" s="348">
        <f>IF(ISNUMBER((Datos!L10-Datos!V10)/Datos!V10),(Datos!L10-Datos!V10)/Datos!V10," - ")</f>
        <v>0.17857142857142858</v>
      </c>
      <c r="H10" s="229">
        <f>IF(ISNUMBER((Datos!M10-Datos!W10)/Datos!W10),(Datos!M10-Datos!W10)/Datos!W10," - ")</f>
        <v>-0.35714285714285715</v>
      </c>
      <c r="I10" s="349">
        <f>IF(ISNUMBER((Tasas!C10-Datos!BE10)/Datos!BE10),(Tasas!C10-Datos!BE10)/Datos!BE10," - ")</f>
        <v>1.8104395604395607</v>
      </c>
      <c r="J10" s="348">
        <f>IF(ISNUMBER((Tasas!D10-Datos!BF10)/Datos!BF10),(Tasas!D10-Datos!BF10)/Datos!BF10," - ")</f>
        <v>0.53296703296703296</v>
      </c>
      <c r="K10" s="350">
        <f>IF(ISNUMBER((Tasas!E10-Datos!BG10)/Datos!BG10),(Tasas!E10-Datos!BG10)/Datos!BG10," - ")</f>
        <v>1.3224080267558529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-0.15992647058823528</v>
      </c>
      <c r="I12" s="349">
        <f>IF(ISNUMBER((Tasas!C12-Datos!BE12)/Datos!BE12),(Tasas!C12-Datos!BE12)/Datos!BE12," - ")</f>
        <v>0.3292127350142805</v>
      </c>
      <c r="J12" s="348">
        <f>IF(ISNUMBER((Tasas!D12-Datos!BF12)/Datos!BF12),(Tasas!D12-Datos!BF12)/Datos!BF12," - ")</f>
        <v>-0.56552879216202612</v>
      </c>
      <c r="K12" s="350">
        <f>IF(ISNUMBER((Tasas!E12-Datos!BG12)/Datos!BG12),(Tasas!E12-Datos!BG12)/Datos!BG12," - ")</f>
        <v>0.2647512765625184</v>
      </c>
      <c r="M12" t="e">
        <f>IF(Monitorios="SI",Datos!CE12,0)</f>
        <v>#REF!</v>
      </c>
      <c r="N12" t="e">
        <f>IF(Monitorios="SI",Datos!CF12,0)</f>
        <v>#REF!</v>
      </c>
      <c r="O12" t="e">
        <f>IF(Monitorios="SI",Datos!CG12,0)</f>
        <v>#REF!</v>
      </c>
      <c r="P12" t="e">
        <f>IF(Monitorios="SI",Datos!CH12,0)</f>
        <v>#REF!</v>
      </c>
      <c r="Q12">
        <f>IF(J_V="SI",0,Datos!AG12)</f>
        <v>236</v>
      </c>
      <c r="R12">
        <f>IF(J_V="SI",0,Datos!AH12)</f>
        <v>253</v>
      </c>
      <c r="S12">
        <f>IF(J_V="SI",0,Datos!AI12)</f>
        <v>299</v>
      </c>
      <c r="T12">
        <f>IF(J_V="SI",0,Datos!AJ12)</f>
        <v>194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-0.16487455197132617</v>
      </c>
      <c r="I13" s="356">
        <f>IF(ISNUMBER((Tasas!C13-Datos!BE13)/Datos!BE13),(Tasas!C13-Datos!BE13)/Datos!BE13," - ")</f>
        <v>0.3385676127072581</v>
      </c>
      <c r="J13" s="354">
        <f>IF(ISNUMBER((Tasas!D13-Datos!BF13)/Datos!BF13),(Tasas!D13-Datos!BF13)/Datos!BF13," - ")</f>
        <v>-0.5592521708851671</v>
      </c>
      <c r="K13" s="357">
        <f>IF(ISNUMBER((Tasas!E13-Datos!BG13)/Datos!BG13),(Tasas!E13-Datos!BG13)/Datos!BG13," - ")</f>
        <v>0.27129425130411527</v>
      </c>
      <c r="M13" t="e">
        <f>IF(Monitorios="SI",Datos!CE13,0)</f>
        <v>#REF!</v>
      </c>
      <c r="N13" t="e">
        <f>IF(Monitorios="SI",Datos!CF13,0)</f>
        <v>#REF!</v>
      </c>
      <c r="O13" t="e">
        <f>IF(Monitorios="SI",Datos!CG13,0)</f>
        <v>#REF!</v>
      </c>
      <c r="P13" t="e">
        <f>IF(Monitorios="SI",Datos!CH13,0)</f>
        <v>#REF!</v>
      </c>
      <c r="Q13">
        <f>IF(J_V="SI",0,Datos!AG13)</f>
        <v>236</v>
      </c>
      <c r="R13">
        <f>IF(J_V="SI",0,Datos!AH13)</f>
        <v>253</v>
      </c>
      <c r="S13">
        <f>IF(J_V="SI",0,Datos!AI13)</f>
        <v>299</v>
      </c>
      <c r="T13">
        <f>IF(J_V="SI",0,Datos!AJ13)</f>
        <v>194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0.11168727562824092</v>
      </c>
      <c r="E16" s="347">
        <f>IF(ISNUMBER(
   IF(D_I="SI",(Datos!J16-Datos!T16)/Datos!T16,(Datos!J16+Datos!AD16-(Datos!T16+Datos!AL16))/(Datos!T16+Datos!AL16))
     ),IF(D_I="SI",(Datos!J16-Datos!T16)/Datos!T16,(Datos!J16+Datos!AD16-(Datos!T16+Datos!AL16))/(Datos!T16+Datos!AL16))," - ")</f>
        <v>0.11979881115683585</v>
      </c>
      <c r="F16" s="347">
        <f>IF(ISNUMBER(
   IF(D_I="SI",(Datos!K16-Datos!U16)/Datos!U16,(Datos!K16+Datos!AE16-(Datos!U16+Datos!AM16))/(Datos!U16+Datos!AM16))
     ),IF(D_I="SI",(Datos!K16-Datos!U16)/Datos!U16,(Datos!K16+Datos!AE16-(Datos!U16+Datos!AM16))/(Datos!U16+Datos!AM16))," - ")</f>
        <v>1.0960105217010083E-2</v>
      </c>
      <c r="G16" s="348">
        <f>IF(ISNUMBER(
   IF(D_I="SI",(Datos!L16-Datos!V16)/Datos!V16,(Datos!L16+Datos!AF16-(Datos!V16+Datos!AN16))/(Datos!V16+Datos!AN16))
     ),IF(D_I="SI",(Datos!L16-Datos!V16)/Datos!V16,(Datos!L16+Datos!AF16-(Datos!V16+Datos!AN16))/(Datos!V16+Datos!AN16))," - ")</f>
        <v>0.1636435331230284</v>
      </c>
      <c r="H16" s="229">
        <f>IF(ISNUMBER((Datos!M16-Datos!W16)/Datos!W16),(Datos!M16-Datos!W16)/Datos!W16," - ")</f>
        <v>-0.21965317919075145</v>
      </c>
      <c r="I16" s="349">
        <f>IF(ISNUMBER((Tasas!C16-Datos!BE16)/Datos!BE16),(Tasas!C16-Datos!BE16)/Datos!BE16," - ")</f>
        <v>0.15102814356185065</v>
      </c>
      <c r="J16" s="348">
        <f>IF(ISNUMBER((Tasas!D16-Datos!BF16)/Datos!BF16),(Tasas!D16-Datos!BF16)/Datos!BF16," - ")</f>
        <v>-0.22811314038772937</v>
      </c>
      <c r="K16" s="350">
        <f>IF(ISNUMBER((Tasas!E16-Datos!BG16)/Datos!BG16),(Tasas!E16-Datos!BG16)/Datos!BG16," - ")</f>
        <v>0.10337346378965068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5.1428571428571428E-2</v>
      </c>
      <c r="E17" s="347">
        <f>IF(ISNUMBER(
   IF(D_I="SI",(Datos!J17-Datos!T17)/Datos!T17,(Datos!J17+Datos!AD17-(Datos!T17+Datos!AL17))/(Datos!T17+Datos!AL17))
     ),IF(D_I="SI",(Datos!J17-Datos!T17)/Datos!T17,(Datos!J17+Datos!AD17-(Datos!T17+Datos!AL17))/(Datos!T17+Datos!AL17))," - ")</f>
        <v>-0.12857142857142856</v>
      </c>
      <c r="F17" s="347">
        <f>IF(ISNUMBER(
   IF(D_I="SI",(Datos!K17-Datos!U17)/Datos!U17,(Datos!K17+Datos!AE17-(Datos!U17+Datos!AM17))/(Datos!U17+Datos!AM17))
     ),IF(D_I="SI",(Datos!K17-Datos!U17)/Datos!U17,(Datos!K17+Datos!AE17-(Datos!U17+Datos!AM17))/(Datos!U17+Datos!AM17))," - ")</f>
        <v>8.2706766917293228E-2</v>
      </c>
      <c r="G17" s="348">
        <f>IF(ISNUMBER(
   IF(D_I="SI",(Datos!L17-Datos!V17)/Datos!V17,(Datos!L17+Datos!AF17-(Datos!V17+Datos!AN17))/(Datos!V17+Datos!AN17))
     ),IF(D_I="SI",(Datos!L17-Datos!V17)/Datos!V17,(Datos!L17+Datos!AF17-(Datos!V17+Datos!AN17))/(Datos!V17+Datos!AN17))," - ")</f>
        <v>-0.10989010989010989</v>
      </c>
      <c r="H17" s="229">
        <f>IF(ISNUMBER((Datos!M17-Datos!W17)/Datos!W17),(Datos!M17-Datos!W17)/Datos!W17," - ")</f>
        <v>0.33333333333333331</v>
      </c>
      <c r="I17" s="349">
        <f>IF(ISNUMBER((Tasas!C17-Datos!BE17)/Datos!BE17),(Tasas!C17-Datos!BE17)/Datos!BE17," - ")</f>
        <v>-0.17788461538461542</v>
      </c>
      <c r="J17" s="348">
        <f>IF(ISNUMBER((Tasas!D17-Datos!BF17)/Datos!BF17),(Tasas!D17-Datos!BF17)/Datos!BF17," - ")</f>
        <v>0.23148148148148148</v>
      </c>
      <c r="K17" s="350">
        <f>IF(ISNUMBER((Tasas!E17-Datos!BG17)/Datos!BG17),(Tasas!E17-Datos!BG17)/Datos!BG17," - ")</f>
        <v>-0.1027777777777777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0.10775540641312453</v>
      </c>
      <c r="E18" s="353">
        <f>IF(ISNUMBER(
   IF(D_I="SI",(Datos!J18-Datos!T18)/Datos!T18,(Datos!J18+Datos!AD18-(Datos!T18+Datos!AL18))/(Datos!T18+Datos!AL18))
     ),IF(D_I="SI",(Datos!J18-Datos!T18)/Datos!T18,(Datos!J18+Datos!AD18-(Datos!T18+Datos!AL18))/(Datos!T18+Datos!AL18))," - ")</f>
        <v>0.10485603781693167</v>
      </c>
      <c r="F18" s="353">
        <f>IF(ISNUMBER(
   IF(D_I="SI",(Datos!K18-Datos!U18)/Datos!U18,(Datos!K18+Datos!AE18-(Datos!U18+Datos!AM18))/(Datos!U18+Datos!AM18))
     ),IF(D_I="SI",(Datos!K18-Datos!U18)/Datos!U18,(Datos!K18+Datos!AE18-(Datos!U18+Datos!AM18))/(Datos!U18+Datos!AM18))," - ")</f>
        <v>1.4913007456503728E-2</v>
      </c>
      <c r="G18" s="354">
        <f>IF(ISNUMBER(
   IF(D_I="SI",(Datos!L18-Datos!V18)/Datos!V18,(Datos!L18+Datos!AF18-(Datos!V18+Datos!AN18))/(Datos!V18+Datos!AN18))
     ),IF(D_I="SI",(Datos!L18-Datos!V18)/Datos!V18,(Datos!L18+Datos!AF18-(Datos!V18+Datos!AN18))/(Datos!V18+Datos!AN18))," - ")</f>
        <v>0.14532744665194997</v>
      </c>
      <c r="H18" s="355">
        <f>IF(ISNUMBER((Datos!M18-Datos!W18)/Datos!W18),(Datos!M18-Datos!W18)/Datos!W18," - ")</f>
        <v>-0.20563380281690141</v>
      </c>
      <c r="I18" s="356">
        <f>IF(ISNUMBER((Tasas!C18-Datos!BE18)/Datos!BE18),(Tasas!C18-Datos!BE18)/Datos!BE18," - ")</f>
        <v>0.12849814539502333</v>
      </c>
      <c r="J18" s="354">
        <f>IF(ISNUMBER((Tasas!D18-Datos!BF18)/Datos!BF18),(Tasas!D18-Datos!BF18)/Datos!BF18," - ")</f>
        <v>-0.21730612244897957</v>
      </c>
      <c r="K18" s="357">
        <f>IF(ISNUMBER((Tasas!E18-Datos!BG18)/Datos!BG18),(Tasas!E18-Datos!BG18)/Datos!BG18," - ")</f>
        <v>9.0151034260779694E-2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5.4243394715772615E-2</v>
      </c>
      <c r="E19" s="362">
        <f>IF(ISNUMBER(
   IF(J_V="SI",(Datos!J19-Datos!T19)/Datos!T19,(Datos!J19+Datos!Z19-(Datos!T19+Datos!AH19))/(Datos!T19+Datos!AH19))
     ),IF(J_V="SI",(Datos!J19-Datos!T19)/Datos!T19,(Datos!J19+Datos!Z19-(Datos!T19+Datos!AH19))/(Datos!T19+Datos!AH19))," - ")</f>
        <v>-0.18230316409124356</v>
      </c>
      <c r="F19" s="362">
        <f>IF(ISNUMBER(
   IF(J_V="SI",(Datos!K19-Datos!U19)/Datos!U19,(Datos!K19+Datos!AA19-(Datos!U19+Datos!AI19))/(Datos!U19+Datos!AI19))
     ),IF(J_V="SI",(Datos!K19-Datos!U19)/Datos!U19,(Datos!K19+Datos!AA19-(Datos!U19+Datos!AI19))/(Datos!U19+Datos!AI19))," - ")</f>
        <v>-0.152105360786496</v>
      </c>
      <c r="G19" s="363">
        <f>IF(ISNUMBER(
   IF(J_V="SI",(Datos!L19-Datos!V19)/Datos!V19,(Datos!L19+Datos!AB19-(Datos!V19+Datos!AJ19))/(Datos!V19+Datos!AJ19))
     ),IF(J_V="SI",(Datos!L19-Datos!V19)/Datos!V19,(Datos!L19+Datos!AB19-(Datos!V19+Datos!AJ19))/(Datos!V19+Datos!AJ19))," - ")</f>
        <v>4.9183553019870154E-3</v>
      </c>
      <c r="H19" s="364">
        <f>IF(ISNUMBER((Datos!M19-Datos!W19)/Datos!W19),(Datos!M19-Datos!W19)/Datos!W19," - ")</f>
        <v>-0.18072289156626506</v>
      </c>
      <c r="I19" s="361">
        <f>IF(ISNUMBER((Tasas!C19-Datos!BE19)/Datos!BE19),(Tasas!C19-Datos!BE19)/Datos!BE19," - ")</f>
        <v>0.18519248598403237</v>
      </c>
      <c r="J19" s="362">
        <f>IF(ISNUMBER((Tasas!D19-Datos!BF19)/Datos!BF19),(Tasas!D19-Datos!BF19)/Datos!BF19," - ")</f>
        <v>-0.52029087555669595</v>
      </c>
      <c r="K19" s="363">
        <f>IF(ISNUMBER((Tasas!E19-Datos!BG19)/Datos!BG19),(Tasas!E19-Datos!BG19)/Datos!BG19," - ")</f>
        <v>0.14506806077044315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2.942912620355034E-2</v>
      </c>
      <c r="E21" s="277">
        <f t="shared" si="1"/>
        <v>0.22357001394156437</v>
      </c>
      <c r="F21" s="277">
        <f t="shared" si="1"/>
        <v>0.31017217088526339</v>
      </c>
      <c r="G21" s="278">
        <f t="shared" si="1"/>
        <v>0.1368789604050884</v>
      </c>
      <c r="H21" s="284">
        <f t="shared" si="1"/>
        <v>0.23754386597851923</v>
      </c>
      <c r="I21" s="276">
        <f t="shared" si="1"/>
        <v>0.70176687036347607</v>
      </c>
      <c r="J21" s="277">
        <f t="shared" si="1"/>
        <v>0.43846891007088357</v>
      </c>
      <c r="K21" s="278">
        <f t="shared" si="1"/>
        <v>0.5076619085147781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z/1lm1PFIn0jGf5Nho9VWTZbXyghZY1E0+ZJi9jXWNG0Qy0S+rnKV3/2l7wElgUiVaQiDiGA4HO8zNhMOZgxw==" saltValue="lPuEfKKHprxgZKRzyUQH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